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รายงาน\รายงาน 63\ทะเบียนคุม+รายงานงปม\"/>
    </mc:Choice>
  </mc:AlternateContent>
  <bookViews>
    <workbookView xWindow="480" yWindow="105" windowWidth="11355" windowHeight="8700" firstSheet="2" activeTab="7"/>
  </bookViews>
  <sheets>
    <sheet name="พย.62" sheetId="162" r:id="rId1"/>
    <sheet name="ธค.62" sheetId="163" r:id="rId2"/>
    <sheet name="มค.63" sheetId="164" r:id="rId3"/>
    <sheet name="กพ.63" sheetId="165" r:id="rId4"/>
    <sheet name="มีค.63" sheetId="166" r:id="rId5"/>
    <sheet name="เมย.63" sheetId="167" r:id="rId6"/>
    <sheet name="พค.63" sheetId="168" r:id="rId7"/>
    <sheet name="มิย.63" sheetId="169" r:id="rId8"/>
  </sheets>
  <externalReferences>
    <externalReference r:id="rId9"/>
    <externalReference r:id="rId10"/>
    <externalReference r:id="rId11"/>
  </externalReferences>
  <definedNames>
    <definedName name="_xlnm._FilterDatabase" localSheetId="3" hidden="1">กพ.63!$F$10:$F$22</definedName>
    <definedName name="_xlnm._FilterDatabase" localSheetId="1" hidden="1">ธค.62!$F$10:$F$22</definedName>
    <definedName name="_xlnm._FilterDatabase" localSheetId="0" hidden="1">พย.62!$F$10:$F$21</definedName>
    <definedName name="_xlnm._FilterDatabase" localSheetId="2" hidden="1">มค.63!$F$10:$F$22</definedName>
    <definedName name="_xlnm.Print_Area" localSheetId="3">กพ.63!$A$1:$M$27</definedName>
    <definedName name="_xlnm.Print_Area" localSheetId="1">ธค.62!$A$1:$M$27</definedName>
    <definedName name="_xlnm.Print_Area" localSheetId="0">พย.62!$A$1:$M$26</definedName>
    <definedName name="_xlnm.Print_Area" localSheetId="2">มค.63!$A$1:$M$27</definedName>
  </definedNames>
  <calcPr calcId="152511"/>
</workbook>
</file>

<file path=xl/calcChain.xml><?xml version="1.0" encoding="utf-8"?>
<calcChain xmlns="http://schemas.openxmlformats.org/spreadsheetml/2006/main">
  <c r="J27" i="169" l="1"/>
  <c r="G27" i="169"/>
  <c r="E27" i="169" l="1"/>
  <c r="I27" i="169"/>
  <c r="F27" i="169" l="1"/>
  <c r="I24" i="169" l="1"/>
  <c r="I23" i="169"/>
  <c r="G23" i="169"/>
  <c r="F23" i="169"/>
  <c r="K22" i="169"/>
  <c r="N22" i="169" s="1"/>
  <c r="D22" i="169"/>
  <c r="B22" i="169"/>
  <c r="E22" i="169" s="1"/>
  <c r="J22" i="169" s="1"/>
  <c r="K21" i="169"/>
  <c r="N21" i="169" s="1"/>
  <c r="E21" i="169"/>
  <c r="H21" i="169" s="1"/>
  <c r="B21" i="169"/>
  <c r="K20" i="169"/>
  <c r="D20" i="169"/>
  <c r="B20" i="169"/>
  <c r="E20" i="169" s="1"/>
  <c r="K19" i="169"/>
  <c r="D19" i="169"/>
  <c r="C19" i="169"/>
  <c r="B19" i="169"/>
  <c r="E19" i="169" s="1"/>
  <c r="K18" i="169"/>
  <c r="D18" i="169"/>
  <c r="B18" i="169"/>
  <c r="E18" i="169" s="1"/>
  <c r="K17" i="169"/>
  <c r="L17" i="169" s="1"/>
  <c r="B17" i="169"/>
  <c r="E17" i="169" s="1"/>
  <c r="K15" i="169"/>
  <c r="N15" i="169" s="1"/>
  <c r="D15" i="169"/>
  <c r="B15" i="169"/>
  <c r="E15" i="169" s="1"/>
  <c r="K13" i="169"/>
  <c r="D13" i="169"/>
  <c r="B13" i="169"/>
  <c r="E13" i="169" s="1"/>
  <c r="J13" i="169" s="1"/>
  <c r="K12" i="169"/>
  <c r="B12" i="169"/>
  <c r="K11" i="169"/>
  <c r="D11" i="169"/>
  <c r="C11" i="169"/>
  <c r="C23" i="169" s="1"/>
  <c r="C24" i="169" s="1"/>
  <c r="N10" i="169"/>
  <c r="K9" i="169"/>
  <c r="N5" i="169" s="1"/>
  <c r="D9" i="169"/>
  <c r="B9" i="169"/>
  <c r="K8" i="169"/>
  <c r="N8" i="169" s="1"/>
  <c r="D8" i="169"/>
  <c r="B8" i="169"/>
  <c r="E8" i="169" s="1"/>
  <c r="J8" i="169" s="1"/>
  <c r="N7" i="169"/>
  <c r="N6" i="169"/>
  <c r="K6" i="169"/>
  <c r="D6" i="169"/>
  <c r="D23" i="169" s="1"/>
  <c r="D24" i="169" s="1"/>
  <c r="B6" i="169"/>
  <c r="E6" i="169" s="1"/>
  <c r="G24" i="169" l="1"/>
  <c r="J6" i="169"/>
  <c r="H6" i="169"/>
  <c r="H8" i="169"/>
  <c r="L13" i="169"/>
  <c r="J17" i="169"/>
  <c r="H17" i="169"/>
  <c r="L16" i="169"/>
  <c r="J18" i="169"/>
  <c r="H18" i="169"/>
  <c r="L18" i="169"/>
  <c r="L19" i="169"/>
  <c r="K23" i="169"/>
  <c r="L6" i="169"/>
  <c r="L5" i="169"/>
  <c r="L8" i="169"/>
  <c r="E9" i="169"/>
  <c r="L7" i="169" s="1"/>
  <c r="N9" i="169"/>
  <c r="E12" i="169"/>
  <c r="L12" i="169" s="1"/>
  <c r="B23" i="169"/>
  <c r="B24" i="169" s="1"/>
  <c r="H15" i="169"/>
  <c r="L15" i="169"/>
  <c r="J15" i="169"/>
  <c r="L14" i="169"/>
  <c r="J19" i="169"/>
  <c r="H19" i="169"/>
  <c r="J20" i="169"/>
  <c r="H20" i="169"/>
  <c r="L20" i="169"/>
  <c r="N17" i="169"/>
  <c r="N19" i="169"/>
  <c r="N20" i="169"/>
  <c r="J21" i="169"/>
  <c r="L21" i="169"/>
  <c r="G25" i="169"/>
  <c r="E11" i="169"/>
  <c r="L11" i="169" s="1"/>
  <c r="N14" i="169"/>
  <c r="N16" i="169"/>
  <c r="F24" i="169"/>
  <c r="I23" i="168"/>
  <c r="I24" i="168" s="1"/>
  <c r="G23" i="168"/>
  <c r="G27" i="168" s="1"/>
  <c r="F23" i="168"/>
  <c r="F27" i="168" s="1"/>
  <c r="K22" i="168"/>
  <c r="N22" i="168" s="1"/>
  <c r="D22" i="168"/>
  <c r="B22" i="168"/>
  <c r="E22" i="168" s="1"/>
  <c r="J22" i="168" s="1"/>
  <c r="K21" i="168"/>
  <c r="B21" i="168"/>
  <c r="E21" i="168" s="1"/>
  <c r="K20" i="168"/>
  <c r="N20" i="168" s="1"/>
  <c r="D20" i="168"/>
  <c r="B20" i="168"/>
  <c r="E20" i="168" s="1"/>
  <c r="K19" i="168"/>
  <c r="N19" i="168" s="1"/>
  <c r="D19" i="168"/>
  <c r="C19" i="168"/>
  <c r="B19" i="168"/>
  <c r="E19" i="168" s="1"/>
  <c r="K18" i="168"/>
  <c r="D18" i="168"/>
  <c r="B18" i="168"/>
  <c r="E18" i="168" s="1"/>
  <c r="K17" i="168"/>
  <c r="N17" i="168" s="1"/>
  <c r="B17" i="168"/>
  <c r="E17" i="168" s="1"/>
  <c r="K15" i="168"/>
  <c r="N15" i="168" s="1"/>
  <c r="D15" i="168"/>
  <c r="B15" i="168"/>
  <c r="E15" i="168" s="1"/>
  <c r="N14" i="168"/>
  <c r="K13" i="168"/>
  <c r="D13" i="168"/>
  <c r="B13" i="168"/>
  <c r="E13" i="168" s="1"/>
  <c r="K12" i="168"/>
  <c r="E12" i="168"/>
  <c r="M12" i="168" s="1"/>
  <c r="B12" i="168"/>
  <c r="K11" i="168"/>
  <c r="D11" i="168"/>
  <c r="C11" i="168"/>
  <c r="C23" i="168" s="1"/>
  <c r="C24" i="168" s="1"/>
  <c r="N10" i="168"/>
  <c r="K9" i="168"/>
  <c r="N9" i="168" s="1"/>
  <c r="D9" i="168"/>
  <c r="B9" i="168"/>
  <c r="E9" i="168" s="1"/>
  <c r="K8" i="168"/>
  <c r="N8" i="168" s="1"/>
  <c r="E8" i="168"/>
  <c r="H8" i="168" s="1"/>
  <c r="D8" i="168"/>
  <c r="B8" i="168"/>
  <c r="N7" i="168"/>
  <c r="K6" i="168"/>
  <c r="N6" i="168" s="1"/>
  <c r="D6" i="168"/>
  <c r="D23" i="168" s="1"/>
  <c r="D24" i="168" s="1"/>
  <c r="B6" i="168"/>
  <c r="B23" i="168" s="1"/>
  <c r="B24" i="168" s="1"/>
  <c r="N5" i="168"/>
  <c r="K24" i="169" l="1"/>
  <c r="J11" i="169"/>
  <c r="H11" i="169"/>
  <c r="J12" i="169"/>
  <c r="M12" i="169"/>
  <c r="H12" i="169"/>
  <c r="J9" i="169"/>
  <c r="J23" i="169" s="1"/>
  <c r="H9" i="169"/>
  <c r="L10" i="169"/>
  <c r="L9" i="169"/>
  <c r="E23" i="169"/>
  <c r="L23" i="169" s="1"/>
  <c r="H17" i="168"/>
  <c r="L16" i="168"/>
  <c r="J17" i="168"/>
  <c r="H18" i="168"/>
  <c r="J18" i="168"/>
  <c r="L18" i="168"/>
  <c r="J21" i="168"/>
  <c r="H21" i="168"/>
  <c r="H9" i="168"/>
  <c r="L9" i="168"/>
  <c r="J9" i="168"/>
  <c r="M23" i="168"/>
  <c r="M24" i="168" s="1"/>
  <c r="N12" i="168"/>
  <c r="L13" i="168"/>
  <c r="J13" i="168"/>
  <c r="L15" i="168"/>
  <c r="J15" i="168"/>
  <c r="L14" i="168"/>
  <c r="H15" i="168"/>
  <c r="H19" i="168"/>
  <c r="J19" i="168"/>
  <c r="H20" i="168"/>
  <c r="J20" i="168"/>
  <c r="L21" i="168"/>
  <c r="E6" i="168"/>
  <c r="L7" i="168"/>
  <c r="J8" i="168"/>
  <c r="L8" i="168"/>
  <c r="E11" i="168"/>
  <c r="J12" i="168"/>
  <c r="L12" i="168"/>
  <c r="N16" i="168"/>
  <c r="L17" i="168"/>
  <c r="L19" i="168"/>
  <c r="L20" i="168"/>
  <c r="N21" i="168"/>
  <c r="K23" i="168"/>
  <c r="F24" i="168"/>
  <c r="I27" i="168"/>
  <c r="H12" i="168"/>
  <c r="G24" i="168"/>
  <c r="J24" i="169" l="1"/>
  <c r="E24" i="169"/>
  <c r="H23" i="169"/>
  <c r="M23" i="169"/>
  <c r="N12" i="169"/>
  <c r="G25" i="168"/>
  <c r="K24" i="168"/>
  <c r="N23" i="168"/>
  <c r="H11" i="168"/>
  <c r="L11" i="168"/>
  <c r="J11" i="168"/>
  <c r="L10" i="168"/>
  <c r="H6" i="168"/>
  <c r="J6" i="168"/>
  <c r="J23" i="168" s="1"/>
  <c r="L5" i="168"/>
  <c r="E23" i="168"/>
  <c r="L6" i="168"/>
  <c r="M24" i="169" l="1"/>
  <c r="N24" i="169" s="1"/>
  <c r="N23" i="169"/>
  <c r="H24" i="169"/>
  <c r="H25" i="169"/>
  <c r="L24" i="169"/>
  <c r="E27" i="168"/>
  <c r="E24" i="168"/>
  <c r="H24" i="168" s="1"/>
  <c r="H23" i="168"/>
  <c r="J27" i="168"/>
  <c r="J24" i="168"/>
  <c r="L23" i="168"/>
  <c r="N24" i="168"/>
  <c r="L24" i="168"/>
  <c r="H25" i="168"/>
  <c r="L15" i="167" l="1"/>
  <c r="L14" i="167"/>
  <c r="L12" i="167" l="1"/>
  <c r="K13" i="167"/>
  <c r="L13" i="167"/>
  <c r="J27" i="167" l="1"/>
  <c r="I27" i="167"/>
  <c r="G27" i="167"/>
  <c r="F27" i="167"/>
  <c r="E27" i="167"/>
  <c r="D22" i="167" l="1"/>
  <c r="D11" i="167" l="1"/>
  <c r="D18" i="167"/>
  <c r="D15" i="167"/>
  <c r="D9" i="167"/>
  <c r="D8" i="167"/>
  <c r="D6" i="167"/>
  <c r="I23" i="167"/>
  <c r="I24" i="167" s="1"/>
  <c r="G23" i="167"/>
  <c r="F23" i="167"/>
  <c r="F24" i="167" s="1"/>
  <c r="C23" i="167"/>
  <c r="C24" i="167" s="1"/>
  <c r="N22" i="167"/>
  <c r="K22" i="167"/>
  <c r="B22" i="167"/>
  <c r="E22" i="167" s="1"/>
  <c r="J22" i="167" s="1"/>
  <c r="K21" i="167"/>
  <c r="N21" i="167" s="1"/>
  <c r="E21" i="167"/>
  <c r="H21" i="167" s="1"/>
  <c r="B21" i="167"/>
  <c r="K20" i="167"/>
  <c r="D20" i="167"/>
  <c r="B20" i="167"/>
  <c r="E20" i="167" s="1"/>
  <c r="K19" i="167"/>
  <c r="L19" i="167" s="1"/>
  <c r="D19" i="167"/>
  <c r="C19" i="167"/>
  <c r="B19" i="167"/>
  <c r="E19" i="167" s="1"/>
  <c r="K18" i="167"/>
  <c r="B18" i="167"/>
  <c r="E18" i="167" s="1"/>
  <c r="K17" i="167"/>
  <c r="N17" i="167" s="1"/>
  <c r="E17" i="167"/>
  <c r="H17" i="167" s="1"/>
  <c r="B17" i="167"/>
  <c r="K15" i="167"/>
  <c r="B15" i="167"/>
  <c r="E15" i="167" s="1"/>
  <c r="N14" i="167"/>
  <c r="L10" i="167"/>
  <c r="D13" i="167"/>
  <c r="B13" i="167"/>
  <c r="E13" i="167" s="1"/>
  <c r="J13" i="167" s="1"/>
  <c r="K12" i="167"/>
  <c r="E12" i="167"/>
  <c r="H12" i="167" s="1"/>
  <c r="B12" i="167"/>
  <c r="K11" i="167"/>
  <c r="E11" i="167"/>
  <c r="H11" i="167" s="1"/>
  <c r="C11" i="167"/>
  <c r="N10" i="167"/>
  <c r="K9" i="167"/>
  <c r="B9" i="167"/>
  <c r="E9" i="167" s="1"/>
  <c r="K8" i="167"/>
  <c r="B8" i="167"/>
  <c r="E8" i="167" s="1"/>
  <c r="N7" i="167"/>
  <c r="K6" i="167"/>
  <c r="N5" i="167" s="1"/>
  <c r="D23" i="167"/>
  <c r="D24" i="167" s="1"/>
  <c r="B6" i="167"/>
  <c r="B23" i="167" s="1"/>
  <c r="B24" i="167" s="1"/>
  <c r="L18" i="167" l="1"/>
  <c r="N16" i="167"/>
  <c r="L9" i="167"/>
  <c r="J9" i="167"/>
  <c r="H9" i="167"/>
  <c r="J15" i="167"/>
  <c r="H15" i="167"/>
  <c r="J8" i="167"/>
  <c r="H8" i="167"/>
  <c r="L8" i="167"/>
  <c r="J18" i="167"/>
  <c r="H18" i="167"/>
  <c r="J19" i="167"/>
  <c r="H19" i="167"/>
  <c r="J20" i="167"/>
  <c r="H20" i="167"/>
  <c r="L20" i="167"/>
  <c r="N6" i="167"/>
  <c r="N8" i="167"/>
  <c r="N9" i="167"/>
  <c r="J11" i="167"/>
  <c r="L11" i="167"/>
  <c r="J12" i="167"/>
  <c r="M12" i="167"/>
  <c r="M23" i="167" s="1"/>
  <c r="M24" i="167" s="1"/>
  <c r="N15" i="167"/>
  <c r="J17" i="167"/>
  <c r="L17" i="167"/>
  <c r="N19" i="167"/>
  <c r="N20" i="167"/>
  <c r="J21" i="167"/>
  <c r="L21" i="167"/>
  <c r="K23" i="167"/>
  <c r="E6" i="167"/>
  <c r="L7" i="167"/>
  <c r="L16" i="167"/>
  <c r="G24" i="167"/>
  <c r="F27" i="166"/>
  <c r="F24" i="166"/>
  <c r="I23" i="166"/>
  <c r="I24" i="166" s="1"/>
  <c r="G23" i="166"/>
  <c r="G27" i="166" s="1"/>
  <c r="F23" i="166"/>
  <c r="C23" i="166"/>
  <c r="C24" i="166" s="1"/>
  <c r="N22" i="166"/>
  <c r="K22" i="166"/>
  <c r="B22" i="166"/>
  <c r="E22" i="166" s="1"/>
  <c r="J22" i="166" s="1"/>
  <c r="K21" i="166"/>
  <c r="N21" i="166" s="1"/>
  <c r="E21" i="166"/>
  <c r="H21" i="166" s="1"/>
  <c r="B21" i="166"/>
  <c r="K20" i="166"/>
  <c r="D20" i="166"/>
  <c r="B20" i="166"/>
  <c r="E20" i="166" s="1"/>
  <c r="K19" i="166"/>
  <c r="L19" i="166" s="1"/>
  <c r="D19" i="166"/>
  <c r="C19" i="166"/>
  <c r="B19" i="166"/>
  <c r="E19" i="166" s="1"/>
  <c r="K18" i="166"/>
  <c r="L18" i="166" s="1"/>
  <c r="B18" i="166"/>
  <c r="E18" i="166" s="1"/>
  <c r="K17" i="166"/>
  <c r="N17" i="166" s="1"/>
  <c r="E17" i="166"/>
  <c r="H17" i="166" s="1"/>
  <c r="B17" i="166"/>
  <c r="N16" i="166"/>
  <c r="K15" i="166"/>
  <c r="D15" i="166"/>
  <c r="B15" i="166"/>
  <c r="E15" i="166" s="1"/>
  <c r="N14" i="166"/>
  <c r="K13" i="166"/>
  <c r="D13" i="166"/>
  <c r="B13" i="166"/>
  <c r="E13" i="166" s="1"/>
  <c r="J13" i="166" s="1"/>
  <c r="K12" i="166"/>
  <c r="E12" i="166"/>
  <c r="H12" i="166" s="1"/>
  <c r="B12" i="166"/>
  <c r="K11" i="166"/>
  <c r="E11" i="166"/>
  <c r="H11" i="166" s="1"/>
  <c r="C11" i="166"/>
  <c r="N10" i="166"/>
  <c r="K9" i="166"/>
  <c r="D9" i="166"/>
  <c r="B9" i="166"/>
  <c r="E9" i="166" s="1"/>
  <c r="K8" i="166"/>
  <c r="D8" i="166"/>
  <c r="B8" i="166"/>
  <c r="E8" i="166" s="1"/>
  <c r="N7" i="166"/>
  <c r="K6" i="166"/>
  <c r="D6" i="166"/>
  <c r="D23" i="166" s="1"/>
  <c r="D24" i="166" s="1"/>
  <c r="B6" i="166"/>
  <c r="B23" i="166" s="1"/>
  <c r="B24" i="166" s="1"/>
  <c r="N5" i="166"/>
  <c r="J6" i="167" l="1"/>
  <c r="J23" i="167" s="1"/>
  <c r="E23" i="167"/>
  <c r="H6" i="167"/>
  <c r="G25" i="167"/>
  <c r="L5" i="167"/>
  <c r="K24" i="167"/>
  <c r="N23" i="167"/>
  <c r="N12" i="167"/>
  <c r="L6" i="167"/>
  <c r="J9" i="166"/>
  <c r="H9" i="166"/>
  <c r="L9" i="166"/>
  <c r="L10" i="166"/>
  <c r="J15" i="166"/>
  <c r="H15" i="166"/>
  <c r="L15" i="166"/>
  <c r="L6" i="166"/>
  <c r="J8" i="166"/>
  <c r="H8" i="166"/>
  <c r="L8" i="166"/>
  <c r="J18" i="166"/>
  <c r="H18" i="166"/>
  <c r="J19" i="166"/>
  <c r="H19" i="166"/>
  <c r="J20" i="166"/>
  <c r="H20" i="166"/>
  <c r="L20" i="166"/>
  <c r="N6" i="166"/>
  <c r="N8" i="166"/>
  <c r="N9" i="166"/>
  <c r="J11" i="166"/>
  <c r="L11" i="166"/>
  <c r="J12" i="166"/>
  <c r="M12" i="166"/>
  <c r="M23" i="166" s="1"/>
  <c r="M24" i="166" s="1"/>
  <c r="N15" i="166"/>
  <c r="J17" i="166"/>
  <c r="L17" i="166"/>
  <c r="N19" i="166"/>
  <c r="N20" i="166"/>
  <c r="J21" i="166"/>
  <c r="L21" i="166"/>
  <c r="K23" i="166"/>
  <c r="I27" i="166"/>
  <c r="L5" i="166"/>
  <c r="E6" i="166"/>
  <c r="L7" i="166"/>
  <c r="L14" i="166"/>
  <c r="L16" i="166"/>
  <c r="G24" i="166"/>
  <c r="J27" i="165"/>
  <c r="F27" i="165"/>
  <c r="E24" i="167" l="1"/>
  <c r="H24" i="167" s="1"/>
  <c r="H23" i="167"/>
  <c r="L23" i="167"/>
  <c r="N24" i="167"/>
  <c r="L24" i="167"/>
  <c r="J24" i="167"/>
  <c r="G25" i="166"/>
  <c r="K24" i="166"/>
  <c r="N23" i="166"/>
  <c r="N12" i="166"/>
  <c r="J6" i="166"/>
  <c r="J23" i="166" s="1"/>
  <c r="E23" i="166"/>
  <c r="H6" i="166"/>
  <c r="C19" i="165"/>
  <c r="N24" i="165"/>
  <c r="N23" i="165"/>
  <c r="J23" i="165"/>
  <c r="H23" i="165"/>
  <c r="H27" i="165" s="1"/>
  <c r="G23" i="165"/>
  <c r="G27" i="165" s="1"/>
  <c r="E23" i="165"/>
  <c r="D23" i="165"/>
  <c r="D24" i="165" s="1"/>
  <c r="C23" i="165"/>
  <c r="C24" i="165" s="1"/>
  <c r="B23" i="165"/>
  <c r="B24" i="165" s="1"/>
  <c r="O22" i="165"/>
  <c r="L22" i="165"/>
  <c r="K22" i="165"/>
  <c r="M21" i="165"/>
  <c r="L21" i="165"/>
  <c r="O21" i="165" s="1"/>
  <c r="K21" i="165"/>
  <c r="I21" i="165"/>
  <c r="F21" i="165"/>
  <c r="L20" i="165"/>
  <c r="O20" i="165" s="1"/>
  <c r="F20" i="165"/>
  <c r="I20" i="165" s="1"/>
  <c r="D20" i="165"/>
  <c r="B20" i="165"/>
  <c r="O19" i="165"/>
  <c r="L19" i="165"/>
  <c r="F19" i="165"/>
  <c r="I19" i="165" s="1"/>
  <c r="D19" i="165"/>
  <c r="B19" i="165"/>
  <c r="L18" i="165"/>
  <c r="I18" i="165"/>
  <c r="F18" i="165"/>
  <c r="M18" i="165" s="1"/>
  <c r="B18" i="165"/>
  <c r="M17" i="165"/>
  <c r="L17" i="165"/>
  <c r="O17" i="165" s="1"/>
  <c r="K17" i="165"/>
  <c r="I17" i="165"/>
  <c r="F17" i="165"/>
  <c r="B17" i="165"/>
  <c r="L15" i="165"/>
  <c r="O15" i="165" s="1"/>
  <c r="I15" i="165"/>
  <c r="F15" i="165"/>
  <c r="M15" i="165" s="1"/>
  <c r="D15" i="165"/>
  <c r="B15" i="165"/>
  <c r="O14" i="165"/>
  <c r="M14" i="165"/>
  <c r="L13" i="165"/>
  <c r="K13" i="165"/>
  <c r="F13" i="165"/>
  <c r="B13" i="165"/>
  <c r="O12" i="165"/>
  <c r="N12" i="165"/>
  <c r="L12" i="165"/>
  <c r="K12" i="165"/>
  <c r="B12" i="165"/>
  <c r="L11" i="165"/>
  <c r="M10" i="165" s="1"/>
  <c r="I11" i="165"/>
  <c r="F11" i="165"/>
  <c r="C11" i="165"/>
  <c r="O10" i="165"/>
  <c r="O9" i="165"/>
  <c r="L9" i="165"/>
  <c r="F9" i="165"/>
  <c r="I9" i="165" s="1"/>
  <c r="D9" i="165"/>
  <c r="B9" i="165"/>
  <c r="O8" i="165"/>
  <c r="L8" i="165"/>
  <c r="F8" i="165"/>
  <c r="I8" i="165" s="1"/>
  <c r="D8" i="165"/>
  <c r="B8" i="165"/>
  <c r="O7" i="165"/>
  <c r="M7" i="165"/>
  <c r="L6" i="165"/>
  <c r="F6" i="165"/>
  <c r="E6" i="165"/>
  <c r="D6" i="165"/>
  <c r="B6" i="165"/>
  <c r="H25" i="167" l="1"/>
  <c r="E27" i="166"/>
  <c r="E24" i="166"/>
  <c r="H24" i="166" s="1"/>
  <c r="H23" i="166"/>
  <c r="J27" i="166"/>
  <c r="J24" i="166"/>
  <c r="L23" i="166"/>
  <c r="N24" i="166"/>
  <c r="L24" i="166"/>
  <c r="L23" i="165"/>
  <c r="L24" i="165" s="1"/>
  <c r="O24" i="165" s="1"/>
  <c r="M11" i="165"/>
  <c r="O16" i="165"/>
  <c r="F23" i="165"/>
  <c r="F24" i="165" s="1"/>
  <c r="H24" i="165"/>
  <c r="J24" i="165"/>
  <c r="O23" i="165"/>
  <c r="O5" i="165"/>
  <c r="O6" i="165"/>
  <c r="G24" i="165"/>
  <c r="M23" i="165"/>
  <c r="K6" i="165"/>
  <c r="M6" i="165"/>
  <c r="K8" i="165"/>
  <c r="M8" i="165"/>
  <c r="K9" i="165"/>
  <c r="M9" i="165"/>
  <c r="K19" i="165"/>
  <c r="M19" i="165"/>
  <c r="K20" i="165"/>
  <c r="M20" i="165"/>
  <c r="M5" i="165"/>
  <c r="I6" i="165"/>
  <c r="K11" i="165"/>
  <c r="K15" i="165"/>
  <c r="M16" i="165"/>
  <c r="K18" i="165"/>
  <c r="F23" i="164"/>
  <c r="F27" i="164" s="1"/>
  <c r="F9" i="164"/>
  <c r="F15" i="164"/>
  <c r="D9" i="164"/>
  <c r="J27" i="164"/>
  <c r="G27" i="164"/>
  <c r="H25" i="166" l="1"/>
  <c r="I24" i="165"/>
  <c r="M24" i="165"/>
  <c r="I23" i="165"/>
  <c r="H25" i="165"/>
  <c r="I25" i="165" s="1"/>
  <c r="K23" i="165"/>
  <c r="K27" i="165" s="1"/>
  <c r="M10" i="164"/>
  <c r="M11" i="164"/>
  <c r="M8" i="164"/>
  <c r="D8" i="164"/>
  <c r="K24" i="165" l="1"/>
  <c r="D23" i="164"/>
  <c r="D24" i="164" s="1"/>
  <c r="N24" i="164"/>
  <c r="N23" i="164"/>
  <c r="J23" i="164"/>
  <c r="H23" i="164"/>
  <c r="G23" i="164"/>
  <c r="E23" i="164"/>
  <c r="C23" i="164"/>
  <c r="C24" i="164" s="1"/>
  <c r="B23" i="164"/>
  <c r="B24" i="164" s="1"/>
  <c r="L22" i="164"/>
  <c r="O22" i="164" s="1"/>
  <c r="K22" i="164"/>
  <c r="O21" i="164"/>
  <c r="M21" i="164"/>
  <c r="L21" i="164"/>
  <c r="K21" i="164"/>
  <c r="I21" i="164"/>
  <c r="F21" i="164"/>
  <c r="O20" i="164"/>
  <c r="L20" i="164"/>
  <c r="I20" i="164"/>
  <c r="F20" i="164"/>
  <c r="M20" i="164" s="1"/>
  <c r="D20" i="164"/>
  <c r="B20" i="164"/>
  <c r="O19" i="164"/>
  <c r="L19" i="164"/>
  <c r="I19" i="164"/>
  <c r="F19" i="164"/>
  <c r="M19" i="164" s="1"/>
  <c r="D19" i="164"/>
  <c r="B19" i="164"/>
  <c r="L18" i="164"/>
  <c r="M18" i="164" s="1"/>
  <c r="K18" i="164"/>
  <c r="I18" i="164"/>
  <c r="F18" i="164"/>
  <c r="B18" i="164"/>
  <c r="L17" i="164"/>
  <c r="O17" i="164" s="1"/>
  <c r="I17" i="164"/>
  <c r="F17" i="164"/>
  <c r="M17" i="164" s="1"/>
  <c r="B17" i="164"/>
  <c r="O16" i="164"/>
  <c r="L15" i="164"/>
  <c r="O15" i="164" s="1"/>
  <c r="I15" i="164"/>
  <c r="D15" i="164"/>
  <c r="B15" i="164"/>
  <c r="L13" i="164"/>
  <c r="K13" i="164"/>
  <c r="F13" i="164"/>
  <c r="B13" i="164"/>
  <c r="O12" i="164"/>
  <c r="N12" i="164"/>
  <c r="L12" i="164"/>
  <c r="K12" i="164"/>
  <c r="B12" i="164"/>
  <c r="L11" i="164"/>
  <c r="I11" i="164"/>
  <c r="F11" i="164"/>
  <c r="K11" i="164" s="1"/>
  <c r="C11" i="164"/>
  <c r="O10" i="164"/>
  <c r="O9" i="164"/>
  <c r="L9" i="164"/>
  <c r="B9" i="164"/>
  <c r="L8" i="164"/>
  <c r="O8" i="164" s="1"/>
  <c r="F8" i="164"/>
  <c r="I8" i="164" s="1"/>
  <c r="B8" i="164"/>
  <c r="O7" i="164"/>
  <c r="L6" i="164"/>
  <c r="O6" i="164" s="1"/>
  <c r="F6" i="164"/>
  <c r="E6" i="164"/>
  <c r="D6" i="164"/>
  <c r="B6" i="164"/>
  <c r="H24" i="164" l="1"/>
  <c r="H27" i="164"/>
  <c r="O14" i="164"/>
  <c r="M16" i="164"/>
  <c r="M14" i="164"/>
  <c r="K8" i="164"/>
  <c r="J24" i="164"/>
  <c r="H25" i="164" s="1"/>
  <c r="L23" i="164"/>
  <c r="O5" i="164"/>
  <c r="G24" i="164"/>
  <c r="K6" i="164"/>
  <c r="M6" i="164"/>
  <c r="M9" i="164"/>
  <c r="K15" i="164"/>
  <c r="M15" i="164"/>
  <c r="M5" i="164"/>
  <c r="I6" i="164"/>
  <c r="K17" i="164"/>
  <c r="K19" i="164"/>
  <c r="K20" i="164"/>
  <c r="M23" i="163"/>
  <c r="J24" i="163"/>
  <c r="H25" i="163"/>
  <c r="L24" i="163"/>
  <c r="H24" i="163"/>
  <c r="L24" i="164" l="1"/>
  <c r="O24" i="164" s="1"/>
  <c r="O23" i="164"/>
  <c r="I9" i="164"/>
  <c r="M7" i="164"/>
  <c r="K9" i="164"/>
  <c r="K23" i="164"/>
  <c r="K27" i="164" s="1"/>
  <c r="J27" i="163"/>
  <c r="H27" i="163"/>
  <c r="G27" i="163"/>
  <c r="M10" i="163"/>
  <c r="M7" i="163"/>
  <c r="F9" i="163"/>
  <c r="F11" i="163"/>
  <c r="I11" i="163"/>
  <c r="K11" i="163"/>
  <c r="L11" i="163"/>
  <c r="C11" i="163"/>
  <c r="M23" i="164" l="1"/>
  <c r="F24" i="164"/>
  <c r="I23" i="164"/>
  <c r="K24" i="164"/>
  <c r="J23" i="163"/>
  <c r="H23" i="163"/>
  <c r="G23" i="163"/>
  <c r="C23" i="163"/>
  <c r="C24" i="163" s="1"/>
  <c r="L22" i="163"/>
  <c r="F22" i="163"/>
  <c r="L21" i="163"/>
  <c r="O21" i="163" s="1"/>
  <c r="F21" i="163"/>
  <c r="I21" i="163" s="1"/>
  <c r="L20" i="163"/>
  <c r="O20" i="163" s="1"/>
  <c r="D20" i="163"/>
  <c r="B20" i="163"/>
  <c r="F20" i="163" s="1"/>
  <c r="L19" i="163"/>
  <c r="O19" i="163" s="1"/>
  <c r="D19" i="163"/>
  <c r="B19" i="163"/>
  <c r="F19" i="163" s="1"/>
  <c r="L18" i="163"/>
  <c r="B18" i="163"/>
  <c r="F18" i="163" s="1"/>
  <c r="L17" i="163"/>
  <c r="O17" i="163" s="1"/>
  <c r="F17" i="163"/>
  <c r="I17" i="163" s="1"/>
  <c r="B17" i="163"/>
  <c r="L15" i="163"/>
  <c r="D15" i="163"/>
  <c r="B15" i="163"/>
  <c r="F15" i="163" s="1"/>
  <c r="L13" i="163"/>
  <c r="F13" i="163"/>
  <c r="K13" i="163" s="1"/>
  <c r="B13" i="163"/>
  <c r="N12" i="163"/>
  <c r="N23" i="163" s="1"/>
  <c r="N24" i="163" s="1"/>
  <c r="L12" i="163"/>
  <c r="O12" i="163" s="1"/>
  <c r="K12" i="163"/>
  <c r="B12" i="163"/>
  <c r="O10" i="163"/>
  <c r="L9" i="163"/>
  <c r="D9" i="163"/>
  <c r="B9" i="163"/>
  <c r="L8" i="163"/>
  <c r="D8" i="163"/>
  <c r="B8" i="163"/>
  <c r="F8" i="163" s="1"/>
  <c r="O7" i="163"/>
  <c r="L6" i="163"/>
  <c r="M6" i="163" s="1"/>
  <c r="E6" i="163"/>
  <c r="E23" i="163" s="1"/>
  <c r="D6" i="163"/>
  <c r="D23" i="163" s="1"/>
  <c r="D24" i="163" s="1"/>
  <c r="B6" i="163"/>
  <c r="F6" i="163" s="1"/>
  <c r="I24" i="164" l="1"/>
  <c r="M24" i="164"/>
  <c r="I25" i="164"/>
  <c r="K22" i="163"/>
  <c r="F23" i="163"/>
  <c r="O14" i="163"/>
  <c r="O16" i="163"/>
  <c r="M8" i="163"/>
  <c r="K6" i="163"/>
  <c r="I6" i="163"/>
  <c r="M5" i="163"/>
  <c r="K9" i="163"/>
  <c r="I9" i="163"/>
  <c r="M9" i="163"/>
  <c r="K15" i="163"/>
  <c r="I15" i="163"/>
  <c r="M15" i="163"/>
  <c r="M18" i="163"/>
  <c r="I20" i="163"/>
  <c r="M20" i="163"/>
  <c r="K20" i="163"/>
  <c r="O24" i="163"/>
  <c r="K8" i="163"/>
  <c r="I8" i="163"/>
  <c r="K18" i="163"/>
  <c r="I18" i="163"/>
  <c r="I19" i="163"/>
  <c r="M19" i="163"/>
  <c r="K19" i="163"/>
  <c r="O8" i="163"/>
  <c r="O9" i="163"/>
  <c r="O15" i="163"/>
  <c r="K17" i="163"/>
  <c r="M17" i="163"/>
  <c r="K21" i="163"/>
  <c r="M21" i="163"/>
  <c r="B23" i="163"/>
  <c r="B24" i="163" s="1"/>
  <c r="L23" i="163"/>
  <c r="G24" i="163"/>
  <c r="O6" i="163"/>
  <c r="O5" i="163"/>
  <c r="M14" i="163"/>
  <c r="M16" i="163"/>
  <c r="O22" i="163"/>
  <c r="I23" i="163"/>
  <c r="F24" i="163" l="1"/>
  <c r="F27" i="163"/>
  <c r="K23" i="163"/>
  <c r="O23" i="163"/>
  <c r="K24" i="163" l="1"/>
  <c r="K27" i="163"/>
  <c r="M24" i="163"/>
  <c r="I25" i="163"/>
  <c r="I24" i="163"/>
  <c r="M8" i="162" l="1"/>
  <c r="J26" i="162" l="1"/>
  <c r="H26" i="162"/>
  <c r="G26" i="162"/>
  <c r="D6" i="162" l="1"/>
  <c r="E22" i="162" l="1"/>
  <c r="F9" i="162"/>
  <c r="F6" i="162"/>
  <c r="F8" i="162"/>
  <c r="F14" i="162"/>
  <c r="E6" i="162"/>
  <c r="I6" i="162"/>
  <c r="K16" i="162" l="1"/>
  <c r="F17" i="162"/>
  <c r="I17" i="162" s="1"/>
  <c r="L17" i="162"/>
  <c r="M17" i="162" s="1"/>
  <c r="F16" i="162"/>
  <c r="D19" i="162"/>
  <c r="D18" i="162"/>
  <c r="D14" i="162"/>
  <c r="D9" i="162"/>
  <c r="D8" i="162"/>
  <c r="B19" i="162"/>
  <c r="B18" i="162"/>
  <c r="B17" i="162"/>
  <c r="B16" i="162"/>
  <c r="B14" i="162"/>
  <c r="B12" i="162"/>
  <c r="B11" i="162"/>
  <c r="B9" i="162"/>
  <c r="B8" i="162"/>
  <c r="B6" i="162"/>
  <c r="K17" i="162" l="1"/>
  <c r="J23" i="162"/>
  <c r="J22" i="162" l="1"/>
  <c r="H22" i="162"/>
  <c r="H23" i="162" s="1"/>
  <c r="G22" i="162"/>
  <c r="C22" i="162"/>
  <c r="C23" i="162" s="1"/>
  <c r="L21" i="162"/>
  <c r="F21" i="162"/>
  <c r="L20" i="162"/>
  <c r="O20" i="162" s="1"/>
  <c r="F20" i="162"/>
  <c r="I20" i="162" s="1"/>
  <c r="L19" i="162"/>
  <c r="D22" i="162"/>
  <c r="D23" i="162" s="1"/>
  <c r="L18" i="162"/>
  <c r="F18" i="162"/>
  <c r="L16" i="162"/>
  <c r="O16" i="162" s="1"/>
  <c r="L12" i="162"/>
  <c r="F12" i="162"/>
  <c r="K12" i="162" s="1"/>
  <c r="L11" i="162"/>
  <c r="O10" i="162"/>
  <c r="L9" i="162"/>
  <c r="O9" i="162" s="1"/>
  <c r="I9" i="162"/>
  <c r="L8" i="162"/>
  <c r="L14" i="162"/>
  <c r="L6" i="162"/>
  <c r="F22" i="162" l="1"/>
  <c r="F26" i="162" s="1"/>
  <c r="O14" i="162"/>
  <c r="M13" i="162"/>
  <c r="O15" i="162"/>
  <c r="O21" i="162"/>
  <c r="L23" i="162"/>
  <c r="G23" i="162"/>
  <c r="I16" i="162"/>
  <c r="M15" i="162"/>
  <c r="I14" i="162"/>
  <c r="K8" i="162"/>
  <c r="M7" i="162"/>
  <c r="O13" i="162"/>
  <c r="K14" i="162"/>
  <c r="M14" i="162"/>
  <c r="K9" i="162"/>
  <c r="F19" i="162"/>
  <c r="I19" i="162" s="1"/>
  <c r="M9" i="162"/>
  <c r="B22" i="162"/>
  <c r="B23" i="162" s="1"/>
  <c r="O5" i="162"/>
  <c r="L22" i="162"/>
  <c r="N11" i="162"/>
  <c r="K18" i="162"/>
  <c r="I18" i="162"/>
  <c r="K19" i="162"/>
  <c r="M19" i="162"/>
  <c r="O6" i="162"/>
  <c r="I8" i="162"/>
  <c r="O8" i="162"/>
  <c r="K11" i="162"/>
  <c r="M18" i="162"/>
  <c r="M16" i="162"/>
  <c r="O18" i="162"/>
  <c r="O19" i="162"/>
  <c r="K20" i="162"/>
  <c r="M20" i="162"/>
  <c r="K21" i="162"/>
  <c r="K23" i="162" s="1"/>
  <c r="O7" i="162"/>
  <c r="M6" i="162" l="1"/>
  <c r="M5" i="162"/>
  <c r="H24" i="162"/>
  <c r="N22" i="162"/>
  <c r="N23" i="162" s="1"/>
  <c r="O11" i="162"/>
  <c r="K6" i="162"/>
  <c r="K22" i="162" s="1"/>
  <c r="K26" i="162" s="1"/>
  <c r="F23" i="162"/>
  <c r="I23" i="162" l="1"/>
  <c r="M23" i="162"/>
  <c r="I24" i="162"/>
  <c r="I22" i="162"/>
  <c r="M22" i="162"/>
  <c r="O23" i="162"/>
  <c r="O22" i="162"/>
</calcChain>
</file>

<file path=xl/sharedStrings.xml><?xml version="1.0" encoding="utf-8"?>
<sst xmlns="http://schemas.openxmlformats.org/spreadsheetml/2006/main" count="479" uniqueCount="67">
  <si>
    <t>กลุ่มงาน</t>
  </si>
  <si>
    <t>เงินประจำงวด</t>
  </si>
  <si>
    <t>ที่ได้รับ</t>
  </si>
  <si>
    <t xml:space="preserve"> (1)</t>
  </si>
  <si>
    <t>โอนเปลี่ยนแปลงเงินประจำงวด</t>
  </si>
  <si>
    <t>เพิ่มขึ้น (+)</t>
  </si>
  <si>
    <t xml:space="preserve"> (2)</t>
  </si>
  <si>
    <t>ลดลง (-)</t>
  </si>
  <si>
    <t xml:space="preserve"> (3)</t>
  </si>
  <si>
    <t>สุทธิ</t>
  </si>
  <si>
    <t>เบิกจ่ายเดือนนี้</t>
  </si>
  <si>
    <t xml:space="preserve"> (6)</t>
  </si>
  <si>
    <t>ผูกพัน</t>
  </si>
  <si>
    <t>(7)</t>
  </si>
  <si>
    <t>คงเหลือ</t>
  </si>
  <si>
    <t>รวม</t>
  </si>
  <si>
    <t>เบิกจ่ายรวมแต่ต้นปี</t>
  </si>
  <si>
    <t>(5)</t>
  </si>
  <si>
    <t xml:space="preserve">1) โครงการสนับสนุนวิชาการ </t>
  </si>
  <si>
    <r>
      <t xml:space="preserve">รวมงบประมาณ  </t>
    </r>
    <r>
      <rPr>
        <b/>
        <u/>
        <sz val="14"/>
        <rFont val="TH SarabunPSK"/>
        <family val="2"/>
      </rPr>
      <t>หัก</t>
    </r>
    <r>
      <rPr>
        <b/>
        <sz val="14"/>
        <rFont val="TH SarabunPSK"/>
        <family val="2"/>
      </rPr>
      <t xml:space="preserve"> งบประมาณเบิกแทนและคอมพิวเตอร์</t>
    </r>
  </si>
  <si>
    <t>ร้อยละงบประมาณเบิกจ่าย + เงินยืม</t>
  </si>
  <si>
    <t>ร้อยละ</t>
  </si>
  <si>
    <t>เบิกจ่าย+ผูกพัน</t>
  </si>
  <si>
    <t>งบประมาณสุทธิ</t>
  </si>
  <si>
    <t>(ทั้งปี)</t>
  </si>
  <si>
    <t xml:space="preserve"> (4)=(1)+(2)-(3)</t>
  </si>
  <si>
    <t>(8)=(4)-(6)-(7)</t>
  </si>
  <si>
    <t>งบสุทธิ 6 เดือน</t>
  </si>
  <si>
    <t>งบสุทธิ 12 เดือน</t>
  </si>
  <si>
    <t>(9)=(6)+(7)</t>
  </si>
  <si>
    <t>(10)=(9)*100/(4)</t>
  </si>
  <si>
    <t>(11)=(4)+งบ6หลัง</t>
  </si>
  <si>
    <t>=(9)*100/(11)</t>
  </si>
  <si>
    <t xml:space="preserve">= (6)*100/(4) </t>
  </si>
  <si>
    <t>เบิกจ่าย</t>
  </si>
  <si>
    <t>5 เดือนแรก</t>
  </si>
  <si>
    <t>11 เดือนหลัง</t>
  </si>
  <si>
    <t>กลุ่มงานพัฒนาระบบบริการสุขภาพจิต</t>
  </si>
  <si>
    <t>กลุ่มงานพัฒนาระบบบริการจิตเวชเฉพาะทาง</t>
  </si>
  <si>
    <t>กลุ่มงานพัฒนาระบบบริการสุขภาพจิตยาและสารเสพติด</t>
  </si>
  <si>
    <t>กลุ่มภารกิจอำนวยการและแผนงาน</t>
  </si>
  <si>
    <t>กลุ่มงานพัฒนาระบบบริการวิกฤตสุขภาพจิตและภารกิจพระราชพิธี</t>
  </si>
  <si>
    <t>1) โครงการพัฒนาระบบบริการวิกฤตสุขภาพจิตของประเทศไทย</t>
  </si>
  <si>
    <t>1) โครงการพัฒนาคุณภาพระบบบริการผู้ป่วยจิตเวชรุนแรง ยุ่งยาก ซับซ้อน</t>
  </si>
  <si>
    <t>1) ค่าใช้จ่ายในการพัฒนาแนวทางการบำบัดฟื้นฟูสมรรถภาพผู้ป่วยจิตเวชยาเสพติดโดยการมีส่วนร่วมของชุมชน</t>
  </si>
  <si>
    <t>2) ค่าติดตามดูแล ช่วยเหลือ ผู้ผ่านการบำบัดรักษายาเสพติด</t>
  </si>
  <si>
    <t>เกณฑ์การใช้เงิน ปี 2563</t>
  </si>
  <si>
    <t xml:space="preserve">3) ค่าเช่าบ้าน </t>
  </si>
  <si>
    <t xml:space="preserve">4) ค่าตอบแทนสำหรับกำลังคนด้านการสาธารณสุข (พ.ต.ส.)   </t>
  </si>
  <si>
    <t>5) เงินสมทบกองทุนประกันสังคม</t>
  </si>
  <si>
    <t>6) ครุภัณฑ์คอมพิวเตอร์ (งบลงทุน)</t>
  </si>
  <si>
    <t>2) โครงการฝึกอบรม/สัมมนา (ยาเสพติด+IT+อำนวยการ)</t>
  </si>
  <si>
    <t>1) โครงการเพิ่มประสิทธิภาพการดูแลผู้ป่วยโรคจิตเภท 
(ใช้เงิน SSS+SMI-V+วิกฤต)</t>
  </si>
  <si>
    <t>ยืมเงินกลุ่มงาน</t>
  </si>
  <si>
    <t>2) โครงการพัฒนาระบบดูแลผู้ป่วยจิตเวชที่มีความเสี่ยงสูงต่อการก่อความรุนแรงในชุมชน</t>
  </si>
  <si>
    <t>-</t>
  </si>
  <si>
    <t>รายงานการใช้จ่ายเงินงบประมาณ 2563  ประจำเดือน พฤศจิกายน 62</t>
  </si>
  <si>
    <t>รายงานการใช้จ่ายเงินงบประมาณ 2563  ประจำเดือน ธันวาคม 62</t>
  </si>
  <si>
    <t>2) ค่าใช้จ่ายในการพัฒนาแนวทางการบำบัดฟื้นฟูสมรรถภาพผู้ป่วยจิตเวชยาเสพติดโดยการมีส่วนร่วมของชุมชน</t>
  </si>
  <si>
    <t>3) ค่าติดตามดูแล ช่วยเหลือ ผู้ผ่านการบำบัดรักษายาเสพติด</t>
  </si>
  <si>
    <t>1) โครงการสื่อสารประชาสัมพัน์ด้านกัญชาทางการแพทย์ประจำปี 63</t>
  </si>
  <si>
    <t>รายงานการใช้จ่ายเงินงบประมาณ 2563  ประจำเดือน มกราคม 63</t>
  </si>
  <si>
    <t>รายงานการใช้จ่ายเงินงบประมาณ 2563  ประจำเดือน กุมภาพันธ์ 63</t>
  </si>
  <si>
    <t>รายงานการใช้จ่ายเงินงบประมาณ 2563  ประจำเดือน มีนาคม 63</t>
  </si>
  <si>
    <t>รายงานการใช้จ่ายเงินงบประมาณ 2563  ประจำเดือน เมษายน 63</t>
  </si>
  <si>
    <t>รายงานการใช้จ่ายเงินงบประมาณ 2563  ประจำเดือน พฤษภาคม 63</t>
  </si>
  <si>
    <t>รายงานการใช้จ่ายเงินงบประมาณ 2563  ประจำเดือน มิถุนายน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</si>
</sst>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6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u/>
      <sz val="14"/>
      <name val="TH SarabunPSK"/>
      <family val="2"/>
    </font>
    <font>
      <sz val="15"/>
      <name val="TH SarabunPSK"/>
      <family val="2"/>
    </font>
    <font>
      <b/>
      <sz val="20"/>
      <name val="TH SarabunPSK"/>
      <family val="2"/>
    </font>
    <font>
      <b/>
      <sz val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5"/>
      <name val="TH SarabunPSK"/>
      <family val="2"/>
    </font>
    <font>
      <sz val="14"/>
      <color theme="0"/>
      <name val="TH SarabunPSK"/>
      <family val="2"/>
    </font>
    <font>
      <sz val="14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43" fontId="3" fillId="0" borderId="0" xfId="0" applyNumberFormat="1" applyFont="1"/>
    <xf numFmtId="0" fontId="2" fillId="3" borderId="16" xfId="0" applyFont="1" applyFill="1" applyBorder="1" applyAlignment="1">
      <alignment horizontal="center"/>
    </xf>
    <xf numFmtId="49" fontId="4" fillId="7" borderId="6" xfId="0" applyNumberFormat="1" applyFont="1" applyFill="1" applyBorder="1" applyAlignment="1">
      <alignment horizontal="center"/>
    </xf>
    <xf numFmtId="49" fontId="4" fillId="7" borderId="7" xfId="0" applyNumberFormat="1" applyFont="1" applyFill="1" applyBorder="1" applyAlignment="1">
      <alignment horizontal="center"/>
    </xf>
    <xf numFmtId="49" fontId="4" fillId="7" borderId="9" xfId="0" applyNumberFormat="1" applyFont="1" applyFill="1" applyBorder="1" applyAlignment="1">
      <alignment horizontal="center"/>
    </xf>
    <xf numFmtId="49" fontId="4" fillId="7" borderId="8" xfId="0" applyNumberFormat="1" applyFont="1" applyFill="1" applyBorder="1" applyAlignment="1">
      <alignment horizontal="center"/>
    </xf>
    <xf numFmtId="49" fontId="4" fillId="7" borderId="0" xfId="0" applyNumberFormat="1" applyFont="1" applyFill="1" applyBorder="1" applyAlignment="1">
      <alignment horizontal="center"/>
    </xf>
    <xf numFmtId="49" fontId="5" fillId="7" borderId="9" xfId="0" applyNumberFormat="1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 vertical="center"/>
    </xf>
    <xf numFmtId="49" fontId="6" fillId="7" borderId="3" xfId="0" applyNumberFormat="1" applyFont="1" applyFill="1" applyBorder="1" applyAlignment="1">
      <alignment horizontal="center" vertical="center"/>
    </xf>
    <xf numFmtId="49" fontId="6" fillId="7" borderId="4" xfId="0" applyNumberFormat="1" applyFont="1" applyFill="1" applyBorder="1" applyAlignment="1">
      <alignment horizontal="center" vertical="center"/>
    </xf>
    <xf numFmtId="49" fontId="6" fillId="7" borderId="5" xfId="0" applyNumberFormat="1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horizontal="center" vertical="center"/>
    </xf>
    <xf numFmtId="49" fontId="10" fillId="7" borderId="9" xfId="0" applyNumberFormat="1" applyFont="1" applyFill="1" applyBorder="1" applyAlignment="1">
      <alignment horizontal="center"/>
    </xf>
    <xf numFmtId="49" fontId="5" fillId="7" borderId="9" xfId="0" applyNumberFormat="1" applyFont="1" applyFill="1" applyBorder="1" applyAlignment="1">
      <alignment horizontal="center" vertical="center"/>
    </xf>
    <xf numFmtId="0" fontId="12" fillId="4" borderId="18" xfId="2" applyFont="1" applyFill="1" applyBorder="1" applyAlignment="1">
      <alignment horizontal="center"/>
    </xf>
    <xf numFmtId="0" fontId="12" fillId="4" borderId="0" xfId="2" applyFont="1" applyFill="1" applyBorder="1" applyAlignment="1">
      <alignment horizontal="center"/>
    </xf>
    <xf numFmtId="49" fontId="4" fillId="7" borderId="20" xfId="0" applyNumberFormat="1" applyFont="1" applyFill="1" applyBorder="1" applyAlignment="1">
      <alignment horizontal="center"/>
    </xf>
    <xf numFmtId="49" fontId="4" fillId="7" borderId="21" xfId="0" applyNumberFormat="1" applyFont="1" applyFill="1" applyBorder="1" applyAlignment="1">
      <alignment horizontal="center"/>
    </xf>
    <xf numFmtId="49" fontId="6" fillId="7" borderId="25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wrapText="1"/>
    </xf>
    <xf numFmtId="0" fontId="13" fillId="3" borderId="14" xfId="0" applyFont="1" applyFill="1" applyBorder="1" applyAlignment="1">
      <alignment horizontal="left" wrapText="1"/>
    </xf>
    <xf numFmtId="0" fontId="13" fillId="3" borderId="15" xfId="0" applyFont="1" applyFill="1" applyBorder="1" applyAlignment="1">
      <alignment wrapText="1"/>
    </xf>
    <xf numFmtId="0" fontId="8" fillId="4" borderId="15" xfId="0" applyFont="1" applyFill="1" applyBorder="1" applyAlignment="1">
      <alignment wrapText="1"/>
    </xf>
    <xf numFmtId="188" fontId="3" fillId="6" borderId="2" xfId="1" applyNumberFormat="1" applyFont="1" applyFill="1" applyBorder="1" applyAlignment="1"/>
    <xf numFmtId="189" fontId="3" fillId="0" borderId="2" xfId="0" applyNumberFormat="1" applyFont="1" applyBorder="1" applyAlignment="1"/>
    <xf numFmtId="189" fontId="3" fillId="0" borderId="13" xfId="0" applyNumberFormat="1" applyFont="1" applyBorder="1" applyAlignment="1"/>
    <xf numFmtId="189" fontId="3" fillId="6" borderId="12" xfId="0" applyNumberFormat="1" applyFont="1" applyFill="1" applyBorder="1" applyAlignment="1"/>
    <xf numFmtId="187" fontId="3" fillId="0" borderId="2" xfId="0" applyNumberFormat="1" applyFont="1" applyBorder="1" applyAlignment="1"/>
    <xf numFmtId="43" fontId="3" fillId="6" borderId="2" xfId="1" applyFont="1" applyFill="1" applyBorder="1" applyAlignment="1"/>
    <xf numFmtId="4" fontId="3" fillId="6" borderId="2" xfId="0" applyNumberFormat="1" applyFont="1" applyFill="1" applyBorder="1" applyAlignment="1">
      <alignment horizontal="center"/>
    </xf>
    <xf numFmtId="187" fontId="3" fillId="3" borderId="2" xfId="0" applyNumberFormat="1" applyFont="1" applyFill="1" applyBorder="1" applyAlignment="1"/>
    <xf numFmtId="187" fontId="3" fillId="4" borderId="2" xfId="0" applyNumberFormat="1" applyFont="1" applyFill="1" applyBorder="1" applyAlignment="1"/>
    <xf numFmtId="187" fontId="2" fillId="4" borderId="13" xfId="0" applyNumberFormat="1" applyFont="1" applyFill="1" applyBorder="1" applyAlignment="1"/>
    <xf numFmtId="187" fontId="3" fillId="6" borderId="23" xfId="0" applyNumberFormat="1" applyFont="1" applyFill="1" applyBorder="1" applyAlignment="1"/>
    <xf numFmtId="187" fontId="2" fillId="6" borderId="13" xfId="0" applyNumberFormat="1" applyFont="1" applyFill="1" applyBorder="1" applyAlignment="1"/>
    <xf numFmtId="0" fontId="3" fillId="0" borderId="0" xfId="0" applyFont="1" applyAlignment="1"/>
    <xf numFmtId="187" fontId="3" fillId="6" borderId="2" xfId="0" applyNumberFormat="1" applyFont="1" applyFill="1" applyBorder="1" applyAlignment="1"/>
    <xf numFmtId="187" fontId="2" fillId="4" borderId="2" xfId="0" applyNumberFormat="1" applyFont="1" applyFill="1" applyBorder="1" applyAlignment="1"/>
    <xf numFmtId="187" fontId="2" fillId="6" borderId="2" xfId="0" applyNumberFormat="1" applyFont="1" applyFill="1" applyBorder="1" applyAlignment="1"/>
    <xf numFmtId="43" fontId="3" fillId="0" borderId="0" xfId="0" applyNumberFormat="1" applyFont="1" applyAlignment="1"/>
    <xf numFmtId="187" fontId="2" fillId="4" borderId="19" xfId="0" applyNumberFormat="1" applyFont="1" applyFill="1" applyBorder="1" applyAlignment="1"/>
    <xf numFmtId="187" fontId="2" fillId="6" borderId="19" xfId="0" applyNumberFormat="1" applyFont="1" applyFill="1" applyBorder="1" applyAlignment="1"/>
    <xf numFmtId="189" fontId="3" fillId="0" borderId="0" xfId="0" applyNumberFormat="1" applyFont="1" applyAlignment="1"/>
    <xf numFmtId="187" fontId="3" fillId="4" borderId="15" xfId="0" applyNumberFormat="1" applyFont="1" applyFill="1" applyBorder="1" applyAlignment="1"/>
    <xf numFmtId="187" fontId="2" fillId="6" borderId="0" xfId="0" applyNumberFormat="1" applyFont="1" applyFill="1" applyBorder="1" applyAlignment="1"/>
    <xf numFmtId="187" fontId="3" fillId="6" borderId="12" xfId="0" applyNumberFormat="1" applyFont="1" applyFill="1" applyBorder="1" applyAlignment="1"/>
    <xf numFmtId="188" fontId="2" fillId="3" borderId="1" xfId="1" applyNumberFormat="1" applyFont="1" applyFill="1" applyBorder="1" applyAlignment="1">
      <alignment horizontal="center"/>
    </xf>
    <xf numFmtId="189" fontId="3" fillId="3" borderId="1" xfId="0" applyNumberFormat="1" applyFont="1" applyFill="1" applyBorder="1" applyAlignment="1"/>
    <xf numFmtId="189" fontId="3" fillId="3" borderId="11" xfId="0" applyNumberFormat="1" applyFont="1" applyFill="1" applyBorder="1" applyAlignment="1"/>
    <xf numFmtId="187" fontId="3" fillId="3" borderId="13" xfId="0" applyNumberFormat="1" applyFont="1" applyFill="1" applyBorder="1" applyAlignment="1"/>
    <xf numFmtId="187" fontId="3" fillId="3" borderId="1" xfId="0" applyNumberFormat="1" applyFont="1" applyFill="1" applyBorder="1" applyAlignment="1"/>
    <xf numFmtId="187" fontId="3" fillId="3" borderId="14" xfId="0" applyNumberFormat="1" applyFont="1" applyFill="1" applyBorder="1" applyAlignment="1"/>
    <xf numFmtId="187" fontId="2" fillId="3" borderId="22" xfId="0" applyNumberFormat="1" applyFont="1" applyFill="1" applyBorder="1" applyAlignment="1"/>
    <xf numFmtId="187" fontId="3" fillId="3" borderId="11" xfId="0" applyNumberFormat="1" applyFont="1" applyFill="1" applyBorder="1" applyAlignment="1"/>
    <xf numFmtId="187" fontId="2" fillId="3" borderId="24" xfId="0" applyNumberFormat="1" applyFont="1" applyFill="1" applyBorder="1" applyAlignment="1"/>
    <xf numFmtId="188" fontId="3" fillId="3" borderId="2" xfId="1" applyNumberFormat="1" applyFont="1" applyFill="1" applyBorder="1" applyAlignment="1"/>
    <xf numFmtId="189" fontId="3" fillId="3" borderId="2" xfId="0" applyNumberFormat="1" applyFont="1" applyFill="1" applyBorder="1" applyAlignment="1"/>
    <xf numFmtId="189" fontId="3" fillId="3" borderId="13" xfId="0" applyNumberFormat="1" applyFont="1" applyFill="1" applyBorder="1" applyAlignment="1"/>
    <xf numFmtId="189" fontId="3" fillId="3" borderId="12" xfId="0" applyNumberFormat="1" applyFont="1" applyFill="1" applyBorder="1" applyAlignment="1"/>
    <xf numFmtId="4" fontId="3" fillId="3" borderId="2" xfId="0" applyNumberFormat="1" applyFont="1" applyFill="1" applyBorder="1" applyAlignment="1">
      <alignment horizontal="center"/>
    </xf>
    <xf numFmtId="187" fontId="3" fillId="3" borderId="15" xfId="0" applyNumberFormat="1" applyFont="1" applyFill="1" applyBorder="1" applyAlignment="1"/>
    <xf numFmtId="188" fontId="2" fillId="3" borderId="2" xfId="1" applyNumberFormat="1" applyFont="1" applyFill="1" applyBorder="1" applyAlignment="1">
      <alignment horizontal="center"/>
    </xf>
    <xf numFmtId="187" fontId="3" fillId="3" borderId="12" xfId="0" applyNumberFormat="1" applyFont="1" applyFill="1" applyBorder="1" applyAlignment="1"/>
    <xf numFmtId="43" fontId="2" fillId="3" borderId="22" xfId="0" applyNumberFormat="1" applyFont="1" applyFill="1" applyBorder="1" applyAlignment="1"/>
    <xf numFmtId="0" fontId="2" fillId="0" borderId="10" xfId="0" applyFont="1" applyBorder="1" applyAlignment="1">
      <alignment horizontal="center"/>
    </xf>
    <xf numFmtId="189" fontId="2" fillId="6" borderId="10" xfId="0" applyNumberFormat="1" applyFont="1" applyFill="1" applyBorder="1" applyAlignment="1"/>
    <xf numFmtId="189" fontId="2" fillId="6" borderId="17" xfId="0" applyNumberFormat="1" applyFont="1" applyFill="1" applyBorder="1" applyAlignment="1"/>
    <xf numFmtId="187" fontId="2" fillId="2" borderId="10" xfId="0" applyNumberFormat="1" applyFont="1" applyFill="1" applyBorder="1" applyAlignment="1"/>
    <xf numFmtId="187" fontId="2" fillId="6" borderId="10" xfId="0" applyNumberFormat="1" applyFont="1" applyFill="1" applyBorder="1" applyAlignment="1"/>
    <xf numFmtId="187" fontId="2" fillId="6" borderId="10" xfId="0" applyNumberFormat="1" applyFont="1" applyFill="1" applyBorder="1" applyAlignment="1">
      <alignment horizontal="center"/>
    </xf>
    <xf numFmtId="187" fontId="2" fillId="3" borderId="10" xfId="0" applyNumberFormat="1" applyFont="1" applyFill="1" applyBorder="1" applyAlignment="1"/>
    <xf numFmtId="187" fontId="2" fillId="4" borderId="10" xfId="0" applyNumberFormat="1" applyFont="1" applyFill="1" applyBorder="1" applyAlignment="1"/>
    <xf numFmtId="187" fontId="2" fillId="4" borderId="6" xfId="0" applyNumberFormat="1" applyFont="1" applyFill="1" applyBorder="1" applyAlignment="1">
      <alignment horizontal="center"/>
    </xf>
    <xf numFmtId="187" fontId="2" fillId="6" borderId="18" xfId="0" applyNumberFormat="1" applyFont="1" applyFill="1" applyBorder="1" applyAlignment="1"/>
    <xf numFmtId="0" fontId="2" fillId="0" borderId="0" xfId="0" applyFont="1" applyAlignment="1"/>
    <xf numFmtId="0" fontId="2" fillId="5" borderId="10" xfId="0" applyFont="1" applyFill="1" applyBorder="1" applyAlignment="1">
      <alignment horizontal="center"/>
    </xf>
    <xf numFmtId="189" fontId="2" fillId="5" borderId="10" xfId="0" applyNumberFormat="1" applyFont="1" applyFill="1" applyBorder="1" applyAlignment="1"/>
    <xf numFmtId="187" fontId="2" fillId="5" borderId="18" xfId="0" applyNumberFormat="1" applyFont="1" applyFill="1" applyBorder="1" applyAlignment="1"/>
    <xf numFmtId="187" fontId="2" fillId="5" borderId="10" xfId="0" applyNumberFormat="1" applyFont="1" applyFill="1" applyBorder="1" applyAlignment="1">
      <alignment horizontal="center"/>
    </xf>
    <xf numFmtId="0" fontId="3" fillId="3" borderId="17" xfId="0" applyFont="1" applyFill="1" applyBorder="1" applyAlignment="1"/>
    <xf numFmtId="43" fontId="3" fillId="3" borderId="17" xfId="0" applyNumberFormat="1" applyFont="1" applyFill="1" applyBorder="1" applyAlignment="1"/>
    <xf numFmtId="43" fontId="2" fillId="3" borderId="16" xfId="0" applyNumberFormat="1" applyFont="1" applyFill="1" applyBorder="1" applyAlignment="1"/>
    <xf numFmtId="2" fontId="2" fillId="3" borderId="10" xfId="0" applyNumberFormat="1" applyFont="1" applyFill="1" applyBorder="1" applyAlignment="1"/>
    <xf numFmtId="43" fontId="3" fillId="3" borderId="18" xfId="0" applyNumberFormat="1" applyFont="1" applyFill="1" applyBorder="1" applyAlignment="1"/>
    <xf numFmtId="43" fontId="3" fillId="3" borderId="25" xfId="0" applyNumberFormat="1" applyFont="1" applyFill="1" applyBorder="1" applyAlignment="1"/>
    <xf numFmtId="0" fontId="11" fillId="4" borderId="10" xfId="2" applyFont="1" applyFill="1" applyBorder="1" applyAlignment="1"/>
    <xf numFmtId="187" fontId="14" fillId="0" borderId="0" xfId="0" applyNumberFormat="1" applyFont="1"/>
    <xf numFmtId="43" fontId="14" fillId="0" borderId="0" xfId="0" applyNumberFormat="1" applyFont="1"/>
    <xf numFmtId="0" fontId="14" fillId="0" borderId="0" xfId="0" applyFont="1"/>
    <xf numFmtId="0" fontId="12" fillId="4" borderId="17" xfId="2" applyFont="1" applyFill="1" applyBorder="1" applyAlignment="1">
      <alignment horizontal="center"/>
    </xf>
    <xf numFmtId="189" fontId="2" fillId="5" borderId="18" xfId="0" applyNumberFormat="1" applyFont="1" applyFill="1" applyBorder="1" applyAlignment="1"/>
    <xf numFmtId="0" fontId="2" fillId="3" borderId="22" xfId="0" applyNumberFormat="1" applyFont="1" applyFill="1" applyBorder="1" applyAlignment="1"/>
    <xf numFmtId="189" fontId="2" fillId="5" borderId="10" xfId="0" applyNumberFormat="1" applyFont="1" applyFill="1" applyBorder="1" applyAlignment="1">
      <alignment horizontal="center"/>
    </xf>
    <xf numFmtId="0" fontId="12" fillId="4" borderId="17" xfId="2" applyFont="1" applyFill="1" applyBorder="1" applyAlignment="1">
      <alignment horizontal="center"/>
    </xf>
    <xf numFmtId="187" fontId="2" fillId="3" borderId="0" xfId="0" applyNumberFormat="1" applyFont="1" applyFill="1" applyBorder="1" applyAlignment="1"/>
    <xf numFmtId="188" fontId="2" fillId="4" borderId="2" xfId="1" applyNumberFormat="1" applyFont="1" applyFill="1" applyBorder="1" applyAlignment="1">
      <alignment horizontal="center"/>
    </xf>
    <xf numFmtId="189" fontId="3" fillId="4" borderId="2" xfId="0" applyNumberFormat="1" applyFont="1" applyFill="1" applyBorder="1" applyAlignment="1"/>
    <xf numFmtId="43" fontId="15" fillId="0" borderId="0" xfId="0" applyNumberFormat="1" applyFont="1"/>
    <xf numFmtId="187" fontId="2" fillId="5" borderId="10" xfId="0" applyNumberFormat="1" applyFont="1" applyFill="1" applyBorder="1" applyAlignment="1"/>
    <xf numFmtId="0" fontId="12" fillId="4" borderId="17" xfId="2" applyFont="1" applyFill="1" applyBorder="1" applyAlignment="1">
      <alignment horizontal="center"/>
    </xf>
    <xf numFmtId="0" fontId="12" fillId="4" borderId="17" xfId="2" applyFont="1" applyFill="1" applyBorder="1" applyAlignment="1">
      <alignment horizontal="center"/>
    </xf>
    <xf numFmtId="0" fontId="12" fillId="4" borderId="17" xfId="2" applyFont="1" applyFill="1" applyBorder="1" applyAlignment="1">
      <alignment horizontal="center"/>
    </xf>
    <xf numFmtId="0" fontId="3" fillId="0" borderId="0" xfId="0" applyFont="1" applyFill="1"/>
    <xf numFmtId="43" fontId="15" fillId="0" borderId="0" xfId="0" applyNumberFormat="1" applyFont="1" applyFill="1"/>
    <xf numFmtId="187" fontId="14" fillId="0" borderId="0" xfId="0" applyNumberFormat="1" applyFont="1" applyFill="1"/>
    <xf numFmtId="43" fontId="14" fillId="0" borderId="0" xfId="0" applyNumberFormat="1" applyFont="1" applyFill="1"/>
    <xf numFmtId="0" fontId="14" fillId="0" borderId="0" xfId="0" applyFont="1" applyFill="1"/>
    <xf numFmtId="0" fontId="12" fillId="4" borderId="17" xfId="2" applyFont="1" applyFill="1" applyBorder="1" applyAlignment="1">
      <alignment horizontal="center"/>
    </xf>
    <xf numFmtId="0" fontId="12" fillId="4" borderId="17" xfId="2" applyFont="1" applyFill="1" applyBorder="1" applyAlignment="1">
      <alignment horizontal="center"/>
    </xf>
    <xf numFmtId="0" fontId="12" fillId="4" borderId="17" xfId="2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4" fillId="7" borderId="16" xfId="0" applyNumberFormat="1" applyFont="1" applyFill="1" applyBorder="1" applyAlignment="1">
      <alignment horizontal="center"/>
    </xf>
    <xf numFmtId="49" fontId="4" fillId="7" borderId="18" xfId="0" applyNumberFormat="1" applyFont="1" applyFill="1" applyBorder="1" applyAlignment="1">
      <alignment horizontal="center"/>
    </xf>
    <xf numFmtId="0" fontId="12" fillId="4" borderId="16" xfId="2" applyFont="1" applyFill="1" applyBorder="1" applyAlignment="1">
      <alignment horizontal="center"/>
    </xf>
    <xf numFmtId="0" fontId="12" fillId="4" borderId="17" xfId="2" applyFont="1" applyFill="1" applyBorder="1" applyAlignment="1">
      <alignment horizontal="center"/>
    </xf>
    <xf numFmtId="49" fontId="4" fillId="7" borderId="6" xfId="0" applyNumberFormat="1" applyFont="1" applyFill="1" applyBorder="1" applyAlignment="1">
      <alignment horizontal="center" vertical="center" wrapText="1"/>
    </xf>
    <xf numFmtId="49" fontId="4" fillId="7" borderId="9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21</xdr:row>
      <xdr:rowOff>0</xdr:rowOff>
    </xdr:from>
    <xdr:ext cx="27765" cy="213456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962775" y="550545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22</xdr:row>
      <xdr:rowOff>0</xdr:rowOff>
    </xdr:from>
    <xdr:ext cx="27765" cy="213456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134225" y="590550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22</xdr:row>
      <xdr:rowOff>0</xdr:rowOff>
    </xdr:from>
    <xdr:ext cx="27765" cy="213456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134225" y="613410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22</xdr:row>
      <xdr:rowOff>0</xdr:rowOff>
    </xdr:from>
    <xdr:ext cx="27765" cy="213456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134225" y="613410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22</xdr:row>
      <xdr:rowOff>0</xdr:rowOff>
    </xdr:from>
    <xdr:ext cx="27765" cy="213456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410325" y="636270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22</xdr:row>
      <xdr:rowOff>0</xdr:rowOff>
    </xdr:from>
    <xdr:ext cx="27765" cy="213456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410325" y="708660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22</xdr:row>
      <xdr:rowOff>0</xdr:rowOff>
    </xdr:from>
    <xdr:ext cx="27765" cy="213456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448425" y="708660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  <xdr:oneCellAnchor>
    <xdr:from>
      <xdr:col>5</xdr:col>
      <xdr:colOff>9525</xdr:colOff>
      <xdr:row>22</xdr:row>
      <xdr:rowOff>0</xdr:rowOff>
    </xdr:from>
    <xdr:ext cx="27765" cy="213456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677025" y="708660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22</xdr:row>
      <xdr:rowOff>0</xdr:rowOff>
    </xdr:from>
    <xdr:ext cx="27765" cy="213456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438900" y="733425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  <xdr:oneCellAnchor>
    <xdr:from>
      <xdr:col>5</xdr:col>
      <xdr:colOff>9525</xdr:colOff>
      <xdr:row>22</xdr:row>
      <xdr:rowOff>0</xdr:rowOff>
    </xdr:from>
    <xdr:ext cx="27765" cy="213456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438900" y="7334250"/>
          <a:ext cx="27765" cy="21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rial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592;.&#3619;&#3591;%20(6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iend\Desktop\&#3591;&#3634;&#3609;&#3591;&#3610;&#3611;&#3619;&#3632;&#3617;&#3634;&#3603;\&#3619;&#3634;&#3618;&#3591;&#3634;&#3609;%2063\&#3607;&#3632;&#3648;&#3610;&#3637;&#3618;&#3609;&#3588;&#3640;&#3617;+&#3619;&#3634;&#3618;&#3591;&#3634;&#3609;&#3591;&#3611;&#3617;\&#3626;&#3592;.&#3619;&#3591;%20(6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591;&#3634;&#3609;&#3591;&#3610;&#3611;&#3619;&#3632;&#3617;&#3634;&#3603;\&#3607;&#3632;&#3648;&#3610;&#3637;&#3618;&#3609;&#3588;&#3640;&#3617;+&#3619;&#3634;&#3618;&#3591;&#3634;&#3609;&#3591;&#3611;&#3617;\&#3626;&#3592;.&#3619;&#3591;%20(6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พย.62"/>
      <sheetName val="ธค.62"/>
      <sheetName val="มค.63"/>
      <sheetName val="กพ.63"/>
      <sheetName val="มีค.63"/>
      <sheetName val="เมย.63"/>
      <sheetName val="พค.63"/>
      <sheetName val="มิย.63"/>
    </sheetNames>
    <sheetDataSet>
      <sheetData sheetId="0">
        <row r="29">
          <cell r="E29">
            <v>7571480</v>
          </cell>
          <cell r="F29">
            <v>887073.55</v>
          </cell>
          <cell r="G29">
            <v>969204.65</v>
          </cell>
          <cell r="H29">
            <v>627350</v>
          </cell>
          <cell r="I29">
            <v>5974925.3499999996</v>
          </cell>
        </row>
      </sheetData>
      <sheetData sheetId="1">
        <row r="29">
          <cell r="E29">
            <v>7691480</v>
          </cell>
          <cell r="F29">
            <v>883153</v>
          </cell>
          <cell r="G29">
            <v>1852307.65</v>
          </cell>
          <cell r="H29">
            <v>647790</v>
          </cell>
          <cell r="I29">
            <v>5191382.3499999996</v>
          </cell>
        </row>
      </sheetData>
      <sheetData sheetId="2">
        <row r="29">
          <cell r="E29">
            <v>7001480</v>
          </cell>
          <cell r="F29">
            <v>1518002</v>
          </cell>
          <cell r="G29">
            <v>3370309.65</v>
          </cell>
          <cell r="H29">
            <v>860900</v>
          </cell>
          <cell r="I29">
            <v>2770270.35</v>
          </cell>
        </row>
      </sheetData>
      <sheetData sheetId="3">
        <row r="29">
          <cell r="E29">
            <v>7025480</v>
          </cell>
          <cell r="F29">
            <v>1581855.5</v>
          </cell>
          <cell r="G29">
            <v>4951913.1500000004</v>
          </cell>
          <cell r="H29">
            <v>36720</v>
          </cell>
          <cell r="I29">
            <v>2036846.85</v>
          </cell>
        </row>
      </sheetData>
      <sheetData sheetId="4" refreshError="1"/>
      <sheetData sheetId="5">
        <row r="32">
          <cell r="E32">
            <v>11554186</v>
          </cell>
          <cell r="F32">
            <v>158108.5</v>
          </cell>
          <cell r="G32">
            <v>5319237.1500000004</v>
          </cell>
          <cell r="H32">
            <v>0</v>
          </cell>
          <cell r="I32">
            <v>6234948.8499999996</v>
          </cell>
        </row>
      </sheetData>
      <sheetData sheetId="6" refreshError="1"/>
      <sheetData sheetId="7">
        <row r="32">
          <cell r="E32">
            <v>11554186</v>
          </cell>
          <cell r="F32">
            <v>1223783.3999999999</v>
          </cell>
          <cell r="G32">
            <v>7560196.8199999994</v>
          </cell>
          <cell r="H32">
            <v>84200</v>
          </cell>
          <cell r="I32">
            <v>3909789.18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พย.62"/>
      <sheetName val="ธค.62"/>
      <sheetName val="มค.63"/>
      <sheetName val="กพ.63"/>
      <sheetName val="มีค.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2">
          <cell r="E32">
            <v>26708640</v>
          </cell>
          <cell r="F32">
            <v>210015.5</v>
          </cell>
          <cell r="G32">
            <v>5161928.6500000004</v>
          </cell>
          <cell r="H32">
            <v>0</v>
          </cell>
          <cell r="I32">
            <v>21546711.350000001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พย.62"/>
      <sheetName val="ธค.62"/>
      <sheetName val="มค.63"/>
      <sheetName val="กพ.63"/>
      <sheetName val="มีค.63"/>
      <sheetName val="เมย.63"/>
      <sheetName val="พค.63"/>
    </sheetNames>
    <sheetDataSet>
      <sheetData sheetId="0">
        <row r="29">
          <cell r="E29">
            <v>7571480</v>
          </cell>
        </row>
      </sheetData>
      <sheetData sheetId="1">
        <row r="29">
          <cell r="E29">
            <v>7691480</v>
          </cell>
        </row>
      </sheetData>
      <sheetData sheetId="2">
        <row r="29">
          <cell r="E29">
            <v>7001480</v>
          </cell>
        </row>
      </sheetData>
      <sheetData sheetId="3">
        <row r="29">
          <cell r="E29">
            <v>7025480</v>
          </cell>
        </row>
      </sheetData>
      <sheetData sheetId="4"/>
      <sheetData sheetId="5">
        <row r="32">
          <cell r="E32">
            <v>11554186</v>
          </cell>
        </row>
      </sheetData>
      <sheetData sheetId="6">
        <row r="32">
          <cell r="E32">
            <v>11554186</v>
          </cell>
          <cell r="F32">
            <v>158108.5</v>
          </cell>
          <cell r="G32">
            <v>5319237.1500000004</v>
          </cell>
          <cell r="H32">
            <v>0</v>
          </cell>
          <cell r="I32">
            <v>6234948.8499999996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wrap="square" rtlCol="0" anchor="t"/>
      <a:lstStyle>
        <a:defPPr>
          <a:defRPr sz="1600">
            <a:latin typeface="TH SarabunPSK" pitchFamily="34" charset="-34"/>
            <a:cs typeface="TH SarabunPSK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zoomScale="110" zoomScaleNormal="80" zoomScaleSheetLayoutView="11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K23" sqref="K23"/>
    </sheetView>
  </sheetViews>
  <sheetFormatPr defaultRowHeight="18.75" x14ac:dyDescent="0.3"/>
  <cols>
    <col min="1" max="1" width="51" style="4" customWidth="1"/>
    <col min="2" max="2" width="12" style="4" customWidth="1"/>
    <col min="3" max="3" width="10" style="4" customWidth="1"/>
    <col min="4" max="4" width="10.7109375" style="4" customWidth="1"/>
    <col min="5" max="5" width="10.85546875" style="4" customWidth="1"/>
    <col min="6" max="6" width="12.28515625" style="4" customWidth="1"/>
    <col min="7" max="7" width="13" style="4" customWidth="1"/>
    <col min="8" max="8" width="14.85546875" style="4" customWidth="1"/>
    <col min="9" max="9" width="8.42578125" style="4" customWidth="1"/>
    <col min="10" max="10" width="11.5703125" style="4" customWidth="1"/>
    <col min="11" max="11" width="14.7109375" style="4" customWidth="1"/>
    <col min="12" max="12" width="14.5703125" style="4" customWidth="1"/>
    <col min="13" max="13" width="9.42578125" style="4" customWidth="1"/>
    <col min="14" max="14" width="13.85546875" style="4" hidden="1" customWidth="1"/>
    <col min="15" max="15" width="0.5703125" style="4" hidden="1" customWidth="1"/>
    <col min="16" max="16384" width="9.140625" style="4"/>
  </cols>
  <sheetData>
    <row r="1" spans="1:18" s="1" customFormat="1" ht="24.75" customHeight="1" x14ac:dyDescent="0.2">
      <c r="A1" s="116" t="s">
        <v>56</v>
      </c>
      <c r="B1" s="116"/>
      <c r="C1" s="116"/>
      <c r="D1" s="116"/>
      <c r="E1" s="116"/>
      <c r="F1" s="116"/>
      <c r="G1" s="117"/>
      <c r="H1" s="117"/>
      <c r="I1" s="117"/>
      <c r="J1" s="116"/>
      <c r="K1" s="116"/>
    </row>
    <row r="2" spans="1:18" s="2" customFormat="1" ht="18.75" customHeight="1" x14ac:dyDescent="0.3">
      <c r="A2" s="7" t="s">
        <v>0</v>
      </c>
      <c r="B2" s="7" t="s">
        <v>1</v>
      </c>
      <c r="C2" s="118" t="s">
        <v>4</v>
      </c>
      <c r="D2" s="119"/>
      <c r="E2" s="122" t="s">
        <v>53</v>
      </c>
      <c r="F2" s="8" t="s">
        <v>1</v>
      </c>
      <c r="G2" s="7" t="s">
        <v>10</v>
      </c>
      <c r="H2" s="8" t="s">
        <v>16</v>
      </c>
      <c r="I2" s="7" t="s">
        <v>21</v>
      </c>
      <c r="J2" s="7" t="s">
        <v>12</v>
      </c>
      <c r="K2" s="7" t="s">
        <v>14</v>
      </c>
      <c r="L2" s="7" t="s">
        <v>22</v>
      </c>
      <c r="M2" s="7" t="s">
        <v>21</v>
      </c>
      <c r="N2" s="22" t="s">
        <v>23</v>
      </c>
      <c r="O2" s="7" t="s">
        <v>21</v>
      </c>
    </row>
    <row r="3" spans="1:18" s="2" customFormat="1" ht="16.5" customHeight="1" x14ac:dyDescent="0.3">
      <c r="A3" s="9"/>
      <c r="B3" s="9" t="s">
        <v>2</v>
      </c>
      <c r="C3" s="10" t="s">
        <v>5</v>
      </c>
      <c r="D3" s="7" t="s">
        <v>7</v>
      </c>
      <c r="E3" s="123"/>
      <c r="F3" s="11" t="s">
        <v>9</v>
      </c>
      <c r="G3" s="9"/>
      <c r="H3" s="11"/>
      <c r="I3" s="12" t="s">
        <v>34</v>
      </c>
      <c r="J3" s="9" t="s">
        <v>13</v>
      </c>
      <c r="K3" s="9" t="s">
        <v>26</v>
      </c>
      <c r="L3" s="9"/>
      <c r="M3" s="12" t="s">
        <v>27</v>
      </c>
      <c r="N3" s="23" t="s">
        <v>24</v>
      </c>
      <c r="O3" s="18" t="s">
        <v>28</v>
      </c>
    </row>
    <row r="4" spans="1:18" s="3" customFormat="1" ht="13.5" customHeight="1" thickBot="1" x14ac:dyDescent="0.25">
      <c r="A4" s="13"/>
      <c r="B4" s="14" t="s">
        <v>3</v>
      </c>
      <c r="C4" s="15" t="s">
        <v>6</v>
      </c>
      <c r="D4" s="14" t="s">
        <v>8</v>
      </c>
      <c r="E4" s="124"/>
      <c r="F4" s="16" t="s">
        <v>25</v>
      </c>
      <c r="G4" s="14" t="s">
        <v>17</v>
      </c>
      <c r="H4" s="16" t="s">
        <v>11</v>
      </c>
      <c r="I4" s="17" t="s">
        <v>33</v>
      </c>
      <c r="J4" s="14"/>
      <c r="K4" s="14"/>
      <c r="L4" s="14" t="s">
        <v>29</v>
      </c>
      <c r="M4" s="19" t="s">
        <v>30</v>
      </c>
      <c r="N4" s="24" t="s">
        <v>31</v>
      </c>
      <c r="O4" s="19" t="s">
        <v>32</v>
      </c>
    </row>
    <row r="5" spans="1:18" s="41" customFormat="1" ht="18" customHeight="1" thickBot="1" x14ac:dyDescent="0.35">
      <c r="A5" s="26" t="s">
        <v>37</v>
      </c>
      <c r="B5" s="52"/>
      <c r="C5" s="53"/>
      <c r="D5" s="53"/>
      <c r="E5" s="53"/>
      <c r="F5" s="54"/>
      <c r="G5" s="55"/>
      <c r="H5" s="55"/>
      <c r="I5" s="55"/>
      <c r="J5" s="56"/>
      <c r="K5" s="56"/>
      <c r="L5" s="57"/>
      <c r="M5" s="58">
        <f>(L6)*100/(F6)</f>
        <v>16.870027397260273</v>
      </c>
      <c r="N5" s="59"/>
      <c r="O5" s="60" t="e">
        <f>(L6+L8+L9+L14+#REF!)*100/(N6+N8+N9+N14+#REF!)</f>
        <v>#REF!</v>
      </c>
    </row>
    <row r="6" spans="1:18" s="41" customFormat="1" ht="39.75" thickBot="1" x14ac:dyDescent="0.35">
      <c r="A6" s="28" t="s">
        <v>52</v>
      </c>
      <c r="B6" s="29">
        <f>0</f>
        <v>0</v>
      </c>
      <c r="C6" s="30">
        <v>0</v>
      </c>
      <c r="D6" s="31">
        <f>815000</f>
        <v>815000</v>
      </c>
      <c r="E6" s="31">
        <f>1860000+200000+580000</f>
        <v>2640000</v>
      </c>
      <c r="F6" s="32">
        <f>B6+C6-D6+E6</f>
        <v>1825000</v>
      </c>
      <c r="G6" s="33">
        <v>79528</v>
      </c>
      <c r="H6" s="34">
        <v>79528</v>
      </c>
      <c r="I6" s="35">
        <f>H6*100/F6</f>
        <v>4.3576986301369862</v>
      </c>
      <c r="J6" s="33">
        <v>228350</v>
      </c>
      <c r="K6" s="36">
        <f>F6-H6-J6</f>
        <v>1517122</v>
      </c>
      <c r="L6" s="37">
        <f>J6+H6</f>
        <v>307878</v>
      </c>
      <c r="M6" s="38">
        <f>L6*100/F6</f>
        <v>16.870027397260273</v>
      </c>
      <c r="N6" s="39">
        <v>8800000</v>
      </c>
      <c r="O6" s="40">
        <f>L6*100/N6</f>
        <v>3.4986136363636362</v>
      </c>
    </row>
    <row r="7" spans="1:18" s="41" customFormat="1" ht="18" customHeight="1" thickBot="1" x14ac:dyDescent="0.35">
      <c r="A7" s="27" t="s">
        <v>38</v>
      </c>
      <c r="B7" s="61"/>
      <c r="C7" s="62">
        <v>0</v>
      </c>
      <c r="D7" s="63"/>
      <c r="E7" s="63"/>
      <c r="F7" s="64"/>
      <c r="G7" s="36"/>
      <c r="H7" s="36"/>
      <c r="I7" s="65"/>
      <c r="J7" s="36"/>
      <c r="K7" s="36"/>
      <c r="L7" s="66"/>
      <c r="M7" s="58">
        <f>(L8+L9)*100/(F8+F9)</f>
        <v>23.938905402455202</v>
      </c>
      <c r="N7" s="59"/>
      <c r="O7" s="60" t="e">
        <f>(#REF!+#REF!+#REF!+#REF!)*100/(#REF!+#REF!+#REF!+#REF!)</f>
        <v>#REF!</v>
      </c>
    </row>
    <row r="8" spans="1:18" s="41" customFormat="1" ht="39" x14ac:dyDescent="0.3">
      <c r="A8" s="28" t="s">
        <v>43</v>
      </c>
      <c r="B8" s="29">
        <f>4117500</f>
        <v>4117500</v>
      </c>
      <c r="C8" s="30">
        <v>0</v>
      </c>
      <c r="D8" s="31">
        <f>1500000</f>
        <v>1500000</v>
      </c>
      <c r="E8" s="31">
        <v>-1860000</v>
      </c>
      <c r="F8" s="32">
        <f>B8+C8-D8+E8</f>
        <v>757500</v>
      </c>
      <c r="G8" s="33">
        <v>5890</v>
      </c>
      <c r="H8" s="42">
        <v>5890</v>
      </c>
      <c r="I8" s="35">
        <f>H8*100/F8</f>
        <v>0.77755775577557751</v>
      </c>
      <c r="J8" s="33">
        <v>0</v>
      </c>
      <c r="K8" s="36">
        <f>F8-H8-J8</f>
        <v>751610</v>
      </c>
      <c r="L8" s="37">
        <f>J8+H8</f>
        <v>5890</v>
      </c>
      <c r="M8" s="43">
        <f>L8*100/F8</f>
        <v>0.77755775577557751</v>
      </c>
      <c r="N8" s="39">
        <v>2150000</v>
      </c>
      <c r="O8" s="44">
        <f>L8*100/N8</f>
        <v>0.27395348837209305</v>
      </c>
      <c r="R8" s="45"/>
    </row>
    <row r="9" spans="1:18" s="41" customFormat="1" ht="39.75" thickBot="1" x14ac:dyDescent="0.35">
      <c r="A9" s="28" t="s">
        <v>54</v>
      </c>
      <c r="B9" s="29">
        <f>2824380</f>
        <v>2824380</v>
      </c>
      <c r="C9" s="30">
        <v>0</v>
      </c>
      <c r="D9" s="30">
        <f>1000000</f>
        <v>1000000</v>
      </c>
      <c r="E9" s="30">
        <v>-200000</v>
      </c>
      <c r="F9" s="32">
        <f>B9+C9-D9+E9</f>
        <v>1624380</v>
      </c>
      <c r="G9" s="33">
        <v>348906</v>
      </c>
      <c r="H9" s="42">
        <v>348906</v>
      </c>
      <c r="I9" s="35">
        <f>H9*100/F9</f>
        <v>21.479333653455473</v>
      </c>
      <c r="J9" s="33">
        <v>215400</v>
      </c>
      <c r="K9" s="36">
        <f>F9-H9-J9</f>
        <v>1060074</v>
      </c>
      <c r="L9" s="37">
        <f>J9+H9</f>
        <v>564306</v>
      </c>
      <c r="M9" s="43">
        <f>L9*100/F9</f>
        <v>34.739777638237356</v>
      </c>
      <c r="N9" s="39">
        <v>1096000</v>
      </c>
      <c r="O9" s="44">
        <f>L9*100/N9</f>
        <v>51.487773722627736</v>
      </c>
      <c r="R9" s="45"/>
    </row>
    <row r="10" spans="1:18" s="41" customFormat="1" ht="18" customHeight="1" thickBot="1" x14ac:dyDescent="0.35">
      <c r="A10" s="27" t="s">
        <v>39</v>
      </c>
      <c r="B10" s="67"/>
      <c r="C10" s="62"/>
      <c r="D10" s="62"/>
      <c r="E10" s="62"/>
      <c r="F10" s="64"/>
      <c r="G10" s="36"/>
      <c r="H10" s="36"/>
      <c r="I10" s="65"/>
      <c r="J10" s="36"/>
      <c r="K10" s="36"/>
      <c r="L10" s="36"/>
      <c r="M10" s="97">
        <v>0</v>
      </c>
      <c r="N10" s="68"/>
      <c r="O10" s="60" t="e">
        <f>#REF!*100/#REF!</f>
        <v>#REF!</v>
      </c>
    </row>
    <row r="11" spans="1:18" s="41" customFormat="1" ht="39" x14ac:dyDescent="0.3">
      <c r="A11" s="28" t="s">
        <v>44</v>
      </c>
      <c r="B11" s="29">
        <f>0</f>
        <v>0</v>
      </c>
      <c r="C11" s="30">
        <v>0</v>
      </c>
      <c r="D11" s="30">
        <v>0</v>
      </c>
      <c r="E11" s="30">
        <v>0</v>
      </c>
      <c r="F11" s="32">
        <v>0</v>
      </c>
      <c r="G11" s="33">
        <v>0</v>
      </c>
      <c r="H11" s="42">
        <v>0</v>
      </c>
      <c r="I11" s="35">
        <v>0</v>
      </c>
      <c r="J11" s="33">
        <v>0</v>
      </c>
      <c r="K11" s="36">
        <f>F11-H11-J11</f>
        <v>0</v>
      </c>
      <c r="L11" s="49">
        <f>J11+H11</f>
        <v>0</v>
      </c>
      <c r="M11" s="38"/>
      <c r="N11" s="39">
        <f>F11</f>
        <v>0</v>
      </c>
      <c r="O11" s="40" t="e">
        <f>L11*100/N11</f>
        <v>#DIV/0!</v>
      </c>
    </row>
    <row r="12" spans="1:18" s="41" customFormat="1" ht="18" customHeight="1" thickBot="1" x14ac:dyDescent="0.35">
      <c r="A12" s="28" t="s">
        <v>45</v>
      </c>
      <c r="B12" s="29">
        <f>0</f>
        <v>0</v>
      </c>
      <c r="C12" s="30">
        <v>0</v>
      </c>
      <c r="D12" s="30">
        <v>0</v>
      </c>
      <c r="E12" s="30">
        <v>0</v>
      </c>
      <c r="F12" s="32">
        <f t="shared" ref="F12:F21" si="0">B12+C12-D12</f>
        <v>0</v>
      </c>
      <c r="G12" s="33">
        <v>0</v>
      </c>
      <c r="H12" s="42">
        <v>0</v>
      </c>
      <c r="I12" s="35">
        <v>0</v>
      </c>
      <c r="J12" s="33">
        <v>0</v>
      </c>
      <c r="K12" s="36">
        <f>F12-H12-J12</f>
        <v>0</v>
      </c>
      <c r="L12" s="49">
        <f>J12+H12</f>
        <v>0</v>
      </c>
      <c r="M12" s="38">
        <v>0</v>
      </c>
      <c r="N12" s="51"/>
      <c r="O12" s="50"/>
    </row>
    <row r="13" spans="1:18" s="41" customFormat="1" ht="18" customHeight="1" thickBot="1" x14ac:dyDescent="0.35">
      <c r="A13" s="26" t="s">
        <v>41</v>
      </c>
      <c r="B13" s="61"/>
      <c r="C13" s="62"/>
      <c r="D13" s="62"/>
      <c r="E13" s="62"/>
      <c r="F13" s="64"/>
      <c r="G13" s="55"/>
      <c r="H13" s="55"/>
      <c r="I13" s="55"/>
      <c r="J13" s="36"/>
      <c r="K13" s="36"/>
      <c r="L13" s="66"/>
      <c r="M13" s="58">
        <f>(L14)*100/(F14)</f>
        <v>35.439207920792079</v>
      </c>
      <c r="N13" s="59"/>
      <c r="O13" s="60" t="e">
        <f>(L15+L20+#REF!+L16+#REF!)*100/(N15+N20+#REF!+N16+#REF!)</f>
        <v>#REF!</v>
      </c>
    </row>
    <row r="14" spans="1:18" s="41" customFormat="1" ht="18" customHeight="1" thickBot="1" x14ac:dyDescent="0.35">
      <c r="A14" s="28" t="s">
        <v>42</v>
      </c>
      <c r="B14" s="29">
        <f>3866940</f>
        <v>3866940</v>
      </c>
      <c r="C14" s="30">
        <v>0</v>
      </c>
      <c r="D14" s="31">
        <f>2024440</f>
        <v>2024440</v>
      </c>
      <c r="E14" s="31">
        <v>-580000</v>
      </c>
      <c r="F14" s="32">
        <f>B14+C14-D14+E14</f>
        <v>1262500</v>
      </c>
      <c r="G14" s="33">
        <v>248240</v>
      </c>
      <c r="H14" s="42">
        <v>263820</v>
      </c>
      <c r="I14" s="35">
        <f t="shared" ref="I14" si="1">H14*100/F14</f>
        <v>20.896633663366337</v>
      </c>
      <c r="J14" s="33">
        <v>183600</v>
      </c>
      <c r="K14" s="36">
        <f>F14-H14-J14</f>
        <v>815080</v>
      </c>
      <c r="L14" s="37">
        <f>J14+H14</f>
        <v>447420</v>
      </c>
      <c r="M14" s="46">
        <f t="shared" ref="M14" si="2">L14*100/F14</f>
        <v>35.439207920792079</v>
      </c>
      <c r="N14" s="39">
        <v>2540000</v>
      </c>
      <c r="O14" s="47">
        <f>L14*100/N14</f>
        <v>17.61496062992126</v>
      </c>
      <c r="R14" s="48"/>
    </row>
    <row r="15" spans="1:18" s="41" customFormat="1" ht="18" customHeight="1" thickBot="1" x14ac:dyDescent="0.35">
      <c r="A15" s="27" t="s">
        <v>40</v>
      </c>
      <c r="B15" s="61"/>
      <c r="C15" s="62"/>
      <c r="D15" s="62"/>
      <c r="E15" s="62"/>
      <c r="F15" s="64"/>
      <c r="G15" s="36"/>
      <c r="H15" s="36"/>
      <c r="I15" s="65"/>
      <c r="J15" s="36"/>
      <c r="K15" s="36"/>
      <c r="L15" s="36"/>
      <c r="M15" s="69">
        <f>(L16+L18+L19+L20)*100 /(F16+F18+F19+F20)</f>
        <v>16.91908432682105</v>
      </c>
      <c r="N15" s="68"/>
      <c r="O15" s="60">
        <f>(L16+L18+L19+L20)*100/(N16+N18+N19+N20)</f>
        <v>7.3384587270216866</v>
      </c>
    </row>
    <row r="16" spans="1:18" s="41" customFormat="1" ht="18" customHeight="1" x14ac:dyDescent="0.3">
      <c r="A16" s="25" t="s">
        <v>18</v>
      </c>
      <c r="B16" s="29">
        <f>1315400</f>
        <v>1315400</v>
      </c>
      <c r="C16" s="30">
        <v>0</v>
      </c>
      <c r="D16" s="30">
        <v>0</v>
      </c>
      <c r="E16" s="30">
        <v>0</v>
      </c>
      <c r="F16" s="51">
        <f>B16+C16-D16</f>
        <v>1315400</v>
      </c>
      <c r="G16" s="33">
        <v>165109.54999999999</v>
      </c>
      <c r="H16" s="42">
        <v>211660.65</v>
      </c>
      <c r="I16" s="35">
        <f t="shared" ref="I16:I20" si="3">H16*100/F16</f>
        <v>16.09097232780903</v>
      </c>
      <c r="J16" s="33">
        <v>0</v>
      </c>
      <c r="K16" s="36">
        <f>F16-H16-J16</f>
        <v>1103739.3500000001</v>
      </c>
      <c r="L16" s="37">
        <f t="shared" ref="L16" si="4">J16+H16</f>
        <v>211660.65</v>
      </c>
      <c r="M16" s="38">
        <f t="shared" ref="M16:M20" si="5">L16*100/F16</f>
        <v>16.09097232780903</v>
      </c>
      <c r="N16" s="39">
        <v>2898700</v>
      </c>
      <c r="O16" s="40">
        <f t="shared" ref="O16:O21" si="6">L16*100/N16</f>
        <v>7.3019163763066199</v>
      </c>
    </row>
    <row r="17" spans="1:15" s="41" customFormat="1" ht="18" customHeight="1" x14ac:dyDescent="0.3">
      <c r="A17" s="25" t="s">
        <v>51</v>
      </c>
      <c r="B17" s="29">
        <f>500000</f>
        <v>500000</v>
      </c>
      <c r="C17" s="30">
        <v>0</v>
      </c>
      <c r="D17" s="30">
        <v>0</v>
      </c>
      <c r="E17" s="30">
        <v>0</v>
      </c>
      <c r="F17" s="51">
        <f>B17+C17-D17</f>
        <v>500000</v>
      </c>
      <c r="G17" s="33">
        <v>0</v>
      </c>
      <c r="H17" s="42"/>
      <c r="I17" s="35">
        <f t="shared" ref="I17" si="7">H17*100/F17</f>
        <v>0</v>
      </c>
      <c r="J17" s="33">
        <v>0</v>
      </c>
      <c r="K17" s="36">
        <f>F17-H17-J17</f>
        <v>500000</v>
      </c>
      <c r="L17" s="37">
        <f t="shared" ref="L17" si="8">J17+H17</f>
        <v>0</v>
      </c>
      <c r="M17" s="38">
        <f t="shared" ref="M17" si="9">L17*100/F17</f>
        <v>0</v>
      </c>
      <c r="N17" s="39"/>
      <c r="O17" s="40"/>
    </row>
    <row r="18" spans="1:15" s="41" customFormat="1" ht="18" customHeight="1" x14ac:dyDescent="0.3">
      <c r="A18" s="25" t="s">
        <v>47</v>
      </c>
      <c r="B18" s="29">
        <f>97000</f>
        <v>97000</v>
      </c>
      <c r="C18" s="30">
        <v>0</v>
      </c>
      <c r="D18" s="30">
        <f>24000</f>
        <v>24000</v>
      </c>
      <c r="E18" s="30">
        <v>0</v>
      </c>
      <c r="F18" s="32">
        <f>B18+C18-D18</f>
        <v>73000</v>
      </c>
      <c r="G18" s="33">
        <v>19400</v>
      </c>
      <c r="H18" s="42">
        <v>19400</v>
      </c>
      <c r="I18" s="35">
        <f t="shared" si="3"/>
        <v>26.575342465753426</v>
      </c>
      <c r="J18" s="33">
        <v>0</v>
      </c>
      <c r="K18" s="36">
        <f>F18-H18-J18</f>
        <v>53600</v>
      </c>
      <c r="L18" s="37">
        <f t="shared" ref="L18:L21" si="10">J18+H18</f>
        <v>19400</v>
      </c>
      <c r="M18" s="43">
        <f t="shared" si="5"/>
        <v>26.575342465753426</v>
      </c>
      <c r="N18" s="39">
        <v>180000</v>
      </c>
      <c r="O18" s="44">
        <f t="shared" si="6"/>
        <v>10.777777777777779</v>
      </c>
    </row>
    <row r="19" spans="1:15" s="41" customFormat="1" ht="18" customHeight="1" x14ac:dyDescent="0.3">
      <c r="A19" s="25" t="s">
        <v>48</v>
      </c>
      <c r="B19" s="29">
        <f>143600</f>
        <v>143600</v>
      </c>
      <c r="C19" s="30">
        <v>0</v>
      </c>
      <c r="D19" s="30">
        <f>18000</f>
        <v>18000</v>
      </c>
      <c r="E19" s="30">
        <v>0</v>
      </c>
      <c r="F19" s="32">
        <f t="shared" si="0"/>
        <v>125600</v>
      </c>
      <c r="G19" s="33">
        <v>20000</v>
      </c>
      <c r="H19" s="42">
        <v>40000</v>
      </c>
      <c r="I19" s="35">
        <f t="shared" si="3"/>
        <v>31.847133757961782</v>
      </c>
      <c r="J19" s="33">
        <v>0</v>
      </c>
      <c r="K19" s="36">
        <f t="shared" ref="K19:K21" si="11">F19-H19-J19</f>
        <v>85600</v>
      </c>
      <c r="L19" s="49">
        <f>J19+H19</f>
        <v>40000</v>
      </c>
      <c r="M19" s="43">
        <f t="shared" si="5"/>
        <v>31.847133757961782</v>
      </c>
      <c r="N19" s="39">
        <v>264000</v>
      </c>
      <c r="O19" s="44">
        <f t="shared" si="6"/>
        <v>15.151515151515152</v>
      </c>
    </row>
    <row r="20" spans="1:15" s="41" customFormat="1" ht="18" customHeight="1" x14ac:dyDescent="0.3">
      <c r="A20" s="25" t="s">
        <v>49</v>
      </c>
      <c r="B20" s="29">
        <v>88100</v>
      </c>
      <c r="C20" s="30">
        <v>0</v>
      </c>
      <c r="D20" s="30">
        <v>0</v>
      </c>
      <c r="E20" s="30">
        <v>0</v>
      </c>
      <c r="F20" s="32">
        <f t="shared" si="0"/>
        <v>88100</v>
      </c>
      <c r="G20" s="33">
        <v>0</v>
      </c>
      <c r="H20" s="42"/>
      <c r="I20" s="35">
        <f t="shared" si="3"/>
        <v>0</v>
      </c>
      <c r="J20" s="33">
        <v>0</v>
      </c>
      <c r="K20" s="36">
        <f t="shared" si="11"/>
        <v>88100</v>
      </c>
      <c r="L20" s="49">
        <f>J20+H20</f>
        <v>0</v>
      </c>
      <c r="M20" s="38">
        <f t="shared" si="5"/>
        <v>0</v>
      </c>
      <c r="N20" s="39">
        <v>351000</v>
      </c>
      <c r="O20" s="40">
        <f t="shared" si="6"/>
        <v>0</v>
      </c>
    </row>
    <row r="21" spans="1:15" s="41" customFormat="1" ht="18" customHeight="1" x14ac:dyDescent="0.3">
      <c r="A21" s="25" t="s">
        <v>50</v>
      </c>
      <c r="B21" s="29">
        <v>0</v>
      </c>
      <c r="C21" s="30">
        <v>0</v>
      </c>
      <c r="D21" s="30">
        <v>0</v>
      </c>
      <c r="E21" s="30">
        <v>0</v>
      </c>
      <c r="F21" s="32">
        <f t="shared" si="0"/>
        <v>0</v>
      </c>
      <c r="G21" s="33">
        <v>0</v>
      </c>
      <c r="H21" s="42"/>
      <c r="I21" s="35">
        <v>0</v>
      </c>
      <c r="J21" s="33">
        <v>0</v>
      </c>
      <c r="K21" s="36">
        <f t="shared" si="11"/>
        <v>0</v>
      </c>
      <c r="L21" s="49">
        <f t="shared" si="10"/>
        <v>0</v>
      </c>
      <c r="M21" s="38">
        <v>0</v>
      </c>
      <c r="N21" s="39">
        <v>49000</v>
      </c>
      <c r="O21" s="44">
        <f t="shared" si="6"/>
        <v>0</v>
      </c>
    </row>
    <row r="22" spans="1:15" s="80" customFormat="1" ht="18" customHeight="1" x14ac:dyDescent="0.3">
      <c r="A22" s="70" t="s">
        <v>15</v>
      </c>
      <c r="B22" s="71">
        <f>SUM(B5:B21)</f>
        <v>12952920</v>
      </c>
      <c r="C22" s="71">
        <f>SUM(C5:C21)</f>
        <v>0</v>
      </c>
      <c r="D22" s="71">
        <f>SUM(D5:D21)</f>
        <v>5381440</v>
      </c>
      <c r="E22" s="71">
        <f>SUM(E6:E21)</f>
        <v>0</v>
      </c>
      <c r="F22" s="72">
        <f>SUM(F5:F21)</f>
        <v>7571480</v>
      </c>
      <c r="G22" s="73">
        <f>SUM(G5:G21)</f>
        <v>887073.55</v>
      </c>
      <c r="H22" s="74">
        <f>SUM(H6:H21)</f>
        <v>969204.65</v>
      </c>
      <c r="I22" s="75">
        <f>H22*100/F22</f>
        <v>12.800729183726299</v>
      </c>
      <c r="J22" s="73">
        <f>SUM(J5:J21)</f>
        <v>627350</v>
      </c>
      <c r="K22" s="76">
        <f>SUM(K5:K21)</f>
        <v>5974925.3499999996</v>
      </c>
      <c r="L22" s="77">
        <f>SUM(L5:L21)</f>
        <v>1596554.65</v>
      </c>
      <c r="M22" s="78">
        <f>L22*100/F22</f>
        <v>21.086427620491634</v>
      </c>
      <c r="N22" s="79">
        <f>SUM(N5:N21)</f>
        <v>18328700</v>
      </c>
      <c r="O22" s="75">
        <f>L22*100/N22</f>
        <v>8.7106813358285091</v>
      </c>
    </row>
    <row r="23" spans="1:15" s="80" customFormat="1" ht="18" customHeight="1" x14ac:dyDescent="0.3">
      <c r="A23" s="81" t="s">
        <v>19</v>
      </c>
      <c r="B23" s="82">
        <f>B22-B21</f>
        <v>12952920</v>
      </c>
      <c r="C23" s="82">
        <f>C22-C21</f>
        <v>0</v>
      </c>
      <c r="D23" s="82">
        <f>D22-D21</f>
        <v>5381440</v>
      </c>
      <c r="E23" s="98" t="s">
        <v>55</v>
      </c>
      <c r="F23" s="96">
        <f t="shared" ref="F23:H23" si="12">F22-F21</f>
        <v>7571480</v>
      </c>
      <c r="G23" s="82">
        <f t="shared" si="12"/>
        <v>887073.55</v>
      </c>
      <c r="H23" s="82">
        <f t="shared" si="12"/>
        <v>969204.65</v>
      </c>
      <c r="I23" s="82">
        <f>H23*100/F23</f>
        <v>12.800729183726299</v>
      </c>
      <c r="J23" s="82">
        <f t="shared" ref="J23:L23" si="13">J21</f>
        <v>0</v>
      </c>
      <c r="K23" s="82">
        <f t="shared" si="13"/>
        <v>0</v>
      </c>
      <c r="L23" s="82">
        <f t="shared" si="13"/>
        <v>0</v>
      </c>
      <c r="M23" s="82">
        <f>L23*100/F23</f>
        <v>0</v>
      </c>
      <c r="N23" s="83" t="e">
        <f>N22-N21-#REF!-#REF!</f>
        <v>#REF!</v>
      </c>
      <c r="O23" s="84" t="e">
        <f>L23*100/N23</f>
        <v>#REF!</v>
      </c>
    </row>
    <row r="24" spans="1:15" s="41" customFormat="1" ht="18" customHeight="1" x14ac:dyDescent="0.3">
      <c r="A24" s="6" t="s">
        <v>20</v>
      </c>
      <c r="B24" s="85"/>
      <c r="C24" s="85"/>
      <c r="D24" s="85"/>
      <c r="E24" s="85"/>
      <c r="F24" s="86"/>
      <c r="G24" s="86"/>
      <c r="H24" s="87">
        <f>H23+J23</f>
        <v>969204.65</v>
      </c>
      <c r="I24" s="88">
        <f>H24*100/F23</f>
        <v>12.800729183726299</v>
      </c>
      <c r="J24" s="86"/>
      <c r="K24" s="89"/>
      <c r="L24" s="86"/>
      <c r="M24" s="90"/>
      <c r="N24" s="86"/>
      <c r="O24" s="86"/>
    </row>
    <row r="25" spans="1:15" s="41" customFormat="1" ht="18" customHeight="1" x14ac:dyDescent="0.3">
      <c r="A25" s="91" t="s">
        <v>46</v>
      </c>
      <c r="B25" s="95"/>
      <c r="C25" s="120" t="s">
        <v>35</v>
      </c>
      <c r="D25" s="121"/>
      <c r="E25" s="121"/>
      <c r="F25" s="121"/>
      <c r="G25" s="95">
        <v>45</v>
      </c>
      <c r="H25" s="120" t="s">
        <v>36</v>
      </c>
      <c r="I25" s="121"/>
      <c r="J25" s="121"/>
      <c r="K25" s="20">
        <v>95</v>
      </c>
      <c r="L25" s="21"/>
      <c r="M25" s="21"/>
      <c r="N25" s="95">
        <v>97</v>
      </c>
      <c r="O25" s="20"/>
    </row>
    <row r="26" spans="1:15" ht="15.75" customHeight="1" x14ac:dyDescent="0.3">
      <c r="B26" s="5"/>
      <c r="C26" s="5"/>
      <c r="D26" s="93"/>
      <c r="E26" s="93"/>
      <c r="F26" s="92">
        <f>F22-[1]พย.62!$E$29</f>
        <v>0</v>
      </c>
      <c r="G26" s="93">
        <f>G22-[1]พย.62!$F$29</f>
        <v>0</v>
      </c>
      <c r="H26" s="93">
        <f>H22-[1]พย.62!$G$29</f>
        <v>0</v>
      </c>
      <c r="I26" s="94"/>
      <c r="J26" s="93">
        <f>J22-[1]พย.62!$H$29</f>
        <v>0</v>
      </c>
      <c r="K26" s="93">
        <f>K22-[1]พย.62!$I$29</f>
        <v>0</v>
      </c>
    </row>
    <row r="29" spans="1:15" x14ac:dyDescent="0.3">
      <c r="L29" s="5"/>
      <c r="M29" s="5"/>
      <c r="N29" s="5"/>
      <c r="O29" s="5"/>
    </row>
  </sheetData>
  <mergeCells count="5">
    <mergeCell ref="A1:K1"/>
    <mergeCell ref="C2:D2"/>
    <mergeCell ref="C25:F25"/>
    <mergeCell ref="H25:J25"/>
    <mergeCell ref="E2:E4"/>
  </mergeCells>
  <pageMargins left="0.19685039370078741" right="0.15748031496062992" top="0.26" bottom="0.15748031496062992" header="0.19685039370078741" footer="0.1574803149606299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view="pageBreakPreview" zoomScaleNormal="8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8" sqref="H8"/>
    </sheetView>
  </sheetViews>
  <sheetFormatPr defaultRowHeight="18.75" x14ac:dyDescent="0.3"/>
  <cols>
    <col min="1" max="1" width="51" style="4" customWidth="1"/>
    <col min="2" max="2" width="12" style="4" customWidth="1"/>
    <col min="3" max="3" width="10" style="4" customWidth="1"/>
    <col min="4" max="4" width="10.7109375" style="4" customWidth="1"/>
    <col min="5" max="5" width="10.85546875" style="4" customWidth="1"/>
    <col min="6" max="6" width="12.28515625" style="4" customWidth="1"/>
    <col min="7" max="7" width="13" style="4" customWidth="1"/>
    <col min="8" max="8" width="14.85546875" style="4" customWidth="1"/>
    <col min="9" max="9" width="8.42578125" style="4" customWidth="1"/>
    <col min="10" max="10" width="11.5703125" style="4" customWidth="1"/>
    <col min="11" max="11" width="14.7109375" style="4" customWidth="1"/>
    <col min="12" max="12" width="14.5703125" style="4" customWidth="1"/>
    <col min="13" max="13" width="9.42578125" style="4" customWidth="1"/>
    <col min="14" max="14" width="13.85546875" style="4" hidden="1" customWidth="1"/>
    <col min="15" max="15" width="0.5703125" style="4" hidden="1" customWidth="1"/>
    <col min="16" max="16384" width="9.140625" style="4"/>
  </cols>
  <sheetData>
    <row r="1" spans="1:18" s="1" customFormat="1" ht="24.75" customHeight="1" x14ac:dyDescent="0.2">
      <c r="A1" s="116" t="s">
        <v>57</v>
      </c>
      <c r="B1" s="116"/>
      <c r="C1" s="116"/>
      <c r="D1" s="116"/>
      <c r="E1" s="116"/>
      <c r="F1" s="116"/>
      <c r="G1" s="117"/>
      <c r="H1" s="117"/>
      <c r="I1" s="117"/>
      <c r="J1" s="116"/>
      <c r="K1" s="116"/>
    </row>
    <row r="2" spans="1:18" s="2" customFormat="1" ht="18.75" customHeight="1" x14ac:dyDescent="0.3">
      <c r="A2" s="7" t="s">
        <v>0</v>
      </c>
      <c r="B2" s="7" t="s">
        <v>1</v>
      </c>
      <c r="C2" s="118" t="s">
        <v>4</v>
      </c>
      <c r="D2" s="119"/>
      <c r="E2" s="122" t="s">
        <v>53</v>
      </c>
      <c r="F2" s="8" t="s">
        <v>1</v>
      </c>
      <c r="G2" s="7" t="s">
        <v>10</v>
      </c>
      <c r="H2" s="8" t="s">
        <v>16</v>
      </c>
      <c r="I2" s="7" t="s">
        <v>21</v>
      </c>
      <c r="J2" s="7" t="s">
        <v>12</v>
      </c>
      <c r="K2" s="7" t="s">
        <v>14</v>
      </c>
      <c r="L2" s="7" t="s">
        <v>22</v>
      </c>
      <c r="M2" s="7" t="s">
        <v>21</v>
      </c>
      <c r="N2" s="22" t="s">
        <v>23</v>
      </c>
      <c r="O2" s="7" t="s">
        <v>21</v>
      </c>
    </row>
    <row r="3" spans="1:18" s="2" customFormat="1" ht="16.5" customHeight="1" x14ac:dyDescent="0.3">
      <c r="A3" s="9"/>
      <c r="B3" s="9" t="s">
        <v>2</v>
      </c>
      <c r="C3" s="10" t="s">
        <v>5</v>
      </c>
      <c r="D3" s="7" t="s">
        <v>7</v>
      </c>
      <c r="E3" s="123"/>
      <c r="F3" s="11" t="s">
        <v>9</v>
      </c>
      <c r="G3" s="9"/>
      <c r="H3" s="11"/>
      <c r="I3" s="12" t="s">
        <v>34</v>
      </c>
      <c r="J3" s="9" t="s">
        <v>13</v>
      </c>
      <c r="K3" s="9" t="s">
        <v>26</v>
      </c>
      <c r="L3" s="9"/>
      <c r="M3" s="12" t="s">
        <v>27</v>
      </c>
      <c r="N3" s="23" t="s">
        <v>24</v>
      </c>
      <c r="O3" s="18" t="s">
        <v>28</v>
      </c>
    </row>
    <row r="4" spans="1:18" s="3" customFormat="1" ht="13.5" customHeight="1" thickBot="1" x14ac:dyDescent="0.25">
      <c r="A4" s="13"/>
      <c r="B4" s="14" t="s">
        <v>3</v>
      </c>
      <c r="C4" s="15" t="s">
        <v>6</v>
      </c>
      <c r="D4" s="14" t="s">
        <v>8</v>
      </c>
      <c r="E4" s="124"/>
      <c r="F4" s="16" t="s">
        <v>25</v>
      </c>
      <c r="G4" s="14" t="s">
        <v>17</v>
      </c>
      <c r="H4" s="16" t="s">
        <v>11</v>
      </c>
      <c r="I4" s="17" t="s">
        <v>33</v>
      </c>
      <c r="J4" s="14"/>
      <c r="K4" s="14"/>
      <c r="L4" s="14" t="s">
        <v>29</v>
      </c>
      <c r="M4" s="19" t="s">
        <v>30</v>
      </c>
      <c r="N4" s="24" t="s">
        <v>31</v>
      </c>
      <c r="O4" s="19" t="s">
        <v>32</v>
      </c>
    </row>
    <row r="5" spans="1:18" s="41" customFormat="1" ht="18" customHeight="1" thickBot="1" x14ac:dyDescent="0.35">
      <c r="A5" s="26" t="s">
        <v>37</v>
      </c>
      <c r="B5" s="52"/>
      <c r="C5" s="53"/>
      <c r="D5" s="53"/>
      <c r="E5" s="53"/>
      <c r="F5" s="54"/>
      <c r="G5" s="55"/>
      <c r="H5" s="55"/>
      <c r="I5" s="55"/>
      <c r="J5" s="56"/>
      <c r="K5" s="56"/>
      <c r="L5" s="57"/>
      <c r="M5" s="58">
        <f>(L6)*100/(F6)</f>
        <v>22.743013698630136</v>
      </c>
      <c r="N5" s="59"/>
      <c r="O5" s="60" t="e">
        <f>(L6+L8+L9+L15+#REF!)*100/(N6+N8+N9+N15+#REF!)</f>
        <v>#REF!</v>
      </c>
    </row>
    <row r="6" spans="1:18" s="41" customFormat="1" ht="39.75" thickBot="1" x14ac:dyDescent="0.35">
      <c r="A6" s="28" t="s">
        <v>52</v>
      </c>
      <c r="B6" s="29">
        <f>0</f>
        <v>0</v>
      </c>
      <c r="C6" s="30">
        <v>0</v>
      </c>
      <c r="D6" s="31">
        <f>815000</f>
        <v>815000</v>
      </c>
      <c r="E6" s="31">
        <f>1860000+200000+580000</f>
        <v>2640000</v>
      </c>
      <c r="F6" s="32">
        <f>B6+C6-D6+E6</f>
        <v>1825000</v>
      </c>
      <c r="G6" s="33">
        <v>107852</v>
      </c>
      <c r="H6" s="34">
        <v>187380</v>
      </c>
      <c r="I6" s="35">
        <f>H6*100/F6</f>
        <v>10.267397260273972</v>
      </c>
      <c r="J6" s="33">
        <v>227680</v>
      </c>
      <c r="K6" s="36">
        <f>F6-H6-J6</f>
        <v>1409940</v>
      </c>
      <c r="L6" s="37">
        <f>J6+H6</f>
        <v>415060</v>
      </c>
      <c r="M6" s="38">
        <f>L6*100/F6</f>
        <v>22.743013698630136</v>
      </c>
      <c r="N6" s="39">
        <v>8800000</v>
      </c>
      <c r="O6" s="40">
        <f>L6*100/N6</f>
        <v>4.7165909090909093</v>
      </c>
    </row>
    <row r="7" spans="1:18" s="41" customFormat="1" ht="18" customHeight="1" thickBot="1" x14ac:dyDescent="0.35">
      <c r="A7" s="27" t="s">
        <v>38</v>
      </c>
      <c r="B7" s="61"/>
      <c r="C7" s="62">
        <v>0</v>
      </c>
      <c r="D7" s="63"/>
      <c r="E7" s="63"/>
      <c r="F7" s="64"/>
      <c r="G7" s="36"/>
      <c r="H7" s="36"/>
      <c r="I7" s="65"/>
      <c r="J7" s="36"/>
      <c r="K7" s="36"/>
      <c r="L7" s="66"/>
      <c r="M7" s="58">
        <f>(L8+L9)*100/(F8+F9)</f>
        <v>39.176616790098578</v>
      </c>
      <c r="N7" s="59"/>
      <c r="O7" s="60" t="e">
        <f>(#REF!+#REF!+#REF!+#REF!)*100/(#REF!+#REF!+#REF!+#REF!)</f>
        <v>#REF!</v>
      </c>
    </row>
    <row r="8" spans="1:18" s="41" customFormat="1" ht="39" x14ac:dyDescent="0.3">
      <c r="A8" s="28" t="s">
        <v>43</v>
      </c>
      <c r="B8" s="29">
        <f>4117500</f>
        <v>4117500</v>
      </c>
      <c r="C8" s="30">
        <v>0</v>
      </c>
      <c r="D8" s="31">
        <f>1500000</f>
        <v>1500000</v>
      </c>
      <c r="E8" s="31">
        <v>-1860000</v>
      </c>
      <c r="F8" s="32">
        <f>B8+C8-D8+E8</f>
        <v>757500</v>
      </c>
      <c r="G8" s="33">
        <v>4566</v>
      </c>
      <c r="H8" s="42">
        <v>10456</v>
      </c>
      <c r="I8" s="35">
        <f>H8*100/F8</f>
        <v>1.3803300330033004</v>
      </c>
      <c r="J8" s="33">
        <v>230800</v>
      </c>
      <c r="K8" s="36">
        <f>F8-H8-J8</f>
        <v>516244</v>
      </c>
      <c r="L8" s="37">
        <f>J8+H8</f>
        <v>241256</v>
      </c>
      <c r="M8" s="43">
        <f>L8*100/F8</f>
        <v>31.84897689768977</v>
      </c>
      <c r="N8" s="39">
        <v>2150000</v>
      </c>
      <c r="O8" s="44">
        <f>L8*100/N8</f>
        <v>11.221209302325581</v>
      </c>
      <c r="R8" s="45"/>
    </row>
    <row r="9" spans="1:18" s="41" customFormat="1" ht="39.75" thickBot="1" x14ac:dyDescent="0.35">
      <c r="A9" s="28" t="s">
        <v>54</v>
      </c>
      <c r="B9" s="29">
        <f>2824380</f>
        <v>2824380</v>
      </c>
      <c r="C9" s="30">
        <v>0</v>
      </c>
      <c r="D9" s="30">
        <f>1000000</f>
        <v>1000000</v>
      </c>
      <c r="E9" s="30">
        <v>-200000</v>
      </c>
      <c r="F9" s="32">
        <f>B9+C9-D9+E9</f>
        <v>1624380</v>
      </c>
      <c r="G9" s="33">
        <v>342978</v>
      </c>
      <c r="H9" s="42">
        <v>691884</v>
      </c>
      <c r="I9" s="35">
        <f>H9*100/F9</f>
        <v>42.593728068555386</v>
      </c>
      <c r="J9" s="33">
        <v>0</v>
      </c>
      <c r="K9" s="36">
        <f>F9-H9-J9</f>
        <v>932496</v>
      </c>
      <c r="L9" s="37">
        <f>J9+H9</f>
        <v>691884</v>
      </c>
      <c r="M9" s="43">
        <f>L9*100/F9</f>
        <v>42.593728068555386</v>
      </c>
      <c r="N9" s="39">
        <v>1096000</v>
      </c>
      <c r="O9" s="44">
        <f>L9*100/N9</f>
        <v>63.128102189781025</v>
      </c>
      <c r="R9" s="45"/>
    </row>
    <row r="10" spans="1:18" s="41" customFormat="1" ht="18" customHeight="1" thickBot="1" x14ac:dyDescent="0.35">
      <c r="A10" s="27" t="s">
        <v>39</v>
      </c>
      <c r="B10" s="67"/>
      <c r="C10" s="62"/>
      <c r="D10" s="62"/>
      <c r="E10" s="62"/>
      <c r="F10" s="64"/>
      <c r="G10" s="36"/>
      <c r="H10" s="36"/>
      <c r="I10" s="65"/>
      <c r="J10" s="36"/>
      <c r="K10" s="36"/>
      <c r="L10" s="36"/>
      <c r="M10" s="69">
        <f>(L11+L12+L13)*100/(F11+F12+F13)</f>
        <v>0</v>
      </c>
      <c r="N10" s="68"/>
      <c r="O10" s="60" t="e">
        <f>#REF!*100/#REF!</f>
        <v>#REF!</v>
      </c>
    </row>
    <row r="11" spans="1:18" s="41" customFormat="1" ht="18" customHeight="1" x14ac:dyDescent="0.3">
      <c r="A11" s="28" t="s">
        <v>60</v>
      </c>
      <c r="B11" s="101"/>
      <c r="C11" s="102">
        <f>120000</f>
        <v>120000</v>
      </c>
      <c r="D11" s="102"/>
      <c r="E11" s="102"/>
      <c r="F11" s="32">
        <f>B11+C11-D11+E11</f>
        <v>120000</v>
      </c>
      <c r="G11" s="33">
        <v>0</v>
      </c>
      <c r="H11" s="42">
        <v>0</v>
      </c>
      <c r="I11" s="35">
        <f t="shared" ref="I11" si="0">H11*100/F11</f>
        <v>0</v>
      </c>
      <c r="J11" s="33">
        <v>0</v>
      </c>
      <c r="K11" s="36">
        <f t="shared" ref="K11" si="1">F11-H11-J11</f>
        <v>120000</v>
      </c>
      <c r="L11" s="37">
        <f t="shared" ref="L11" si="2">J11+H11</f>
        <v>0</v>
      </c>
      <c r="M11" s="37"/>
      <c r="N11" s="68"/>
      <c r="O11" s="100"/>
    </row>
    <row r="12" spans="1:18" s="41" customFormat="1" ht="39" x14ac:dyDescent="0.3">
      <c r="A12" s="28" t="s">
        <v>58</v>
      </c>
      <c r="B12" s="29">
        <f>0</f>
        <v>0</v>
      </c>
      <c r="C12" s="30">
        <v>0</v>
      </c>
      <c r="D12" s="30">
        <v>0</v>
      </c>
      <c r="E12" s="30">
        <v>0</v>
      </c>
      <c r="F12" s="32">
        <v>0</v>
      </c>
      <c r="G12" s="33">
        <v>0</v>
      </c>
      <c r="H12" s="42">
        <v>0</v>
      </c>
      <c r="I12" s="35">
        <v>0</v>
      </c>
      <c r="J12" s="33">
        <v>0</v>
      </c>
      <c r="K12" s="36">
        <f>F12-H12-J12</f>
        <v>0</v>
      </c>
      <c r="L12" s="37">
        <f>J12+H12</f>
        <v>0</v>
      </c>
      <c r="M12" s="37"/>
      <c r="N12" s="39">
        <f>F12</f>
        <v>0</v>
      </c>
      <c r="O12" s="40" t="e">
        <f>L12*100/N12</f>
        <v>#DIV/0!</v>
      </c>
    </row>
    <row r="13" spans="1:18" s="41" customFormat="1" ht="18" customHeight="1" thickBot="1" x14ac:dyDescent="0.35">
      <c r="A13" s="28" t="s">
        <v>59</v>
      </c>
      <c r="B13" s="29">
        <f>0</f>
        <v>0</v>
      </c>
      <c r="C13" s="30">
        <v>0</v>
      </c>
      <c r="D13" s="30">
        <v>0</v>
      </c>
      <c r="E13" s="30">
        <v>0</v>
      </c>
      <c r="F13" s="32">
        <f t="shared" ref="F13:F22" si="3">B13+C13-D13</f>
        <v>0</v>
      </c>
      <c r="G13" s="33">
        <v>0</v>
      </c>
      <c r="H13" s="42">
        <v>0</v>
      </c>
      <c r="I13" s="35">
        <v>0</v>
      </c>
      <c r="J13" s="33">
        <v>0</v>
      </c>
      <c r="K13" s="36">
        <f>F13-H13-J13</f>
        <v>0</v>
      </c>
      <c r="L13" s="49">
        <f>J13+H13</f>
        <v>0</v>
      </c>
      <c r="M13" s="38">
        <v>0</v>
      </c>
      <c r="N13" s="51"/>
      <c r="O13" s="50"/>
    </row>
    <row r="14" spans="1:18" s="41" customFormat="1" ht="18" customHeight="1" thickBot="1" x14ac:dyDescent="0.35">
      <c r="A14" s="26" t="s">
        <v>41</v>
      </c>
      <c r="B14" s="61"/>
      <c r="C14" s="62"/>
      <c r="D14" s="62"/>
      <c r="E14" s="62"/>
      <c r="F14" s="64"/>
      <c r="G14" s="55"/>
      <c r="H14" s="55"/>
      <c r="I14" s="55"/>
      <c r="J14" s="36"/>
      <c r="K14" s="36"/>
      <c r="L14" s="66"/>
      <c r="M14" s="58">
        <f>(L15)*100/(F15)</f>
        <v>42.088633663366338</v>
      </c>
      <c r="N14" s="59"/>
      <c r="O14" s="60" t="e">
        <f>(L16+L21+#REF!+L17+#REF!)*100/(N16+N21+#REF!+N17+#REF!)</f>
        <v>#REF!</v>
      </c>
    </row>
    <row r="15" spans="1:18" s="41" customFormat="1" ht="18" customHeight="1" thickBot="1" x14ac:dyDescent="0.35">
      <c r="A15" s="28" t="s">
        <v>42</v>
      </c>
      <c r="B15" s="29">
        <f>3866940</f>
        <v>3866940</v>
      </c>
      <c r="C15" s="30">
        <v>0</v>
      </c>
      <c r="D15" s="31">
        <f>2024440</f>
        <v>2024440</v>
      </c>
      <c r="E15" s="31">
        <v>-580000</v>
      </c>
      <c r="F15" s="32">
        <f>B15+C15-D15+E15</f>
        <v>1262500</v>
      </c>
      <c r="G15" s="33">
        <v>267549</v>
      </c>
      <c r="H15" s="42">
        <v>531369</v>
      </c>
      <c r="I15" s="35">
        <f t="shared" ref="I15" si="4">H15*100/F15</f>
        <v>42.088633663366338</v>
      </c>
      <c r="J15" s="33"/>
      <c r="K15" s="36">
        <f>F15-H15-J15</f>
        <v>731131</v>
      </c>
      <c r="L15" s="37">
        <f>J15+H15</f>
        <v>531369</v>
      </c>
      <c r="M15" s="46">
        <f t="shared" ref="M15" si="5">L15*100/F15</f>
        <v>42.088633663366338</v>
      </c>
      <c r="N15" s="39">
        <v>2540000</v>
      </c>
      <c r="O15" s="47">
        <f>L15*100/N15</f>
        <v>20.92003937007874</v>
      </c>
      <c r="R15" s="48"/>
    </row>
    <row r="16" spans="1:18" s="41" customFormat="1" ht="18" customHeight="1" thickBot="1" x14ac:dyDescent="0.35">
      <c r="A16" s="27" t="s">
        <v>40</v>
      </c>
      <c r="B16" s="61"/>
      <c r="C16" s="62"/>
      <c r="D16" s="62"/>
      <c r="E16" s="62"/>
      <c r="F16" s="64"/>
      <c r="G16" s="36"/>
      <c r="H16" s="36"/>
      <c r="I16" s="65"/>
      <c r="J16" s="36"/>
      <c r="K16" s="36"/>
      <c r="L16" s="36"/>
      <c r="M16" s="69">
        <f>(L17+L19+L20+L21)*100 /(F17+F19+F20+F21)</f>
        <v>26.419989388927032</v>
      </c>
      <c r="N16" s="68"/>
      <c r="O16" s="60">
        <f>(L17+L19+L20+L21)*100/(N17+N19+N20+N21)</f>
        <v>11.459367301080217</v>
      </c>
    </row>
    <row r="17" spans="1:15" s="41" customFormat="1" ht="18" customHeight="1" x14ac:dyDescent="0.3">
      <c r="A17" s="25" t="s">
        <v>18</v>
      </c>
      <c r="B17" s="29">
        <f>1315400</f>
        <v>1315400</v>
      </c>
      <c r="C17" s="30">
        <v>0</v>
      </c>
      <c r="D17" s="30">
        <v>0</v>
      </c>
      <c r="E17" s="30">
        <v>0</v>
      </c>
      <c r="F17" s="51">
        <f>B17+C17-D17</f>
        <v>1315400</v>
      </c>
      <c r="G17" s="33">
        <v>56908</v>
      </c>
      <c r="H17" s="42">
        <v>268518.65000000002</v>
      </c>
      <c r="I17" s="35">
        <f t="shared" ref="I17:I21" si="6">H17*100/F17</f>
        <v>20.413459784096094</v>
      </c>
      <c r="J17" s="33">
        <v>5890</v>
      </c>
      <c r="K17" s="36">
        <f>F17-H17-J17</f>
        <v>1040991.35</v>
      </c>
      <c r="L17" s="37">
        <f t="shared" ref="L17:L22" si="7">J17+H17</f>
        <v>274408.65000000002</v>
      </c>
      <c r="M17" s="38">
        <f t="shared" ref="M17:M21" si="8">L17*100/F17</f>
        <v>20.861232324768135</v>
      </c>
      <c r="N17" s="39">
        <v>2898700</v>
      </c>
      <c r="O17" s="40">
        <f t="shared" ref="O17:O22" si="9">L17*100/N17</f>
        <v>9.4666108945389329</v>
      </c>
    </row>
    <row r="18" spans="1:15" s="41" customFormat="1" ht="18" customHeight="1" x14ac:dyDescent="0.3">
      <c r="A18" s="25" t="s">
        <v>51</v>
      </c>
      <c r="B18" s="29">
        <f>500000</f>
        <v>500000</v>
      </c>
      <c r="C18" s="30">
        <v>0</v>
      </c>
      <c r="D18" s="30">
        <v>0</v>
      </c>
      <c r="E18" s="30">
        <v>0</v>
      </c>
      <c r="F18" s="51">
        <f>B18+C18-D18</f>
        <v>500000</v>
      </c>
      <c r="G18" s="33">
        <v>13834</v>
      </c>
      <c r="H18" s="42">
        <v>13834</v>
      </c>
      <c r="I18" s="35">
        <f t="shared" si="6"/>
        <v>2.7667999999999999</v>
      </c>
      <c r="J18" s="33">
        <v>183420</v>
      </c>
      <c r="K18" s="36">
        <f>F18-H18-J18</f>
        <v>302746</v>
      </c>
      <c r="L18" s="37">
        <f t="shared" si="7"/>
        <v>197254</v>
      </c>
      <c r="M18" s="38">
        <f t="shared" si="8"/>
        <v>39.450800000000001</v>
      </c>
      <c r="N18" s="39"/>
      <c r="O18" s="40"/>
    </row>
    <row r="19" spans="1:15" s="41" customFormat="1" ht="18" customHeight="1" x14ac:dyDescent="0.3">
      <c r="A19" s="25" t="s">
        <v>47</v>
      </c>
      <c r="B19" s="29">
        <f>97000</f>
        <v>97000</v>
      </c>
      <c r="C19" s="30">
        <v>0</v>
      </c>
      <c r="D19" s="30">
        <f>24000</f>
        <v>24000</v>
      </c>
      <c r="E19" s="30">
        <v>0</v>
      </c>
      <c r="F19" s="32">
        <f>B19+C19-D19</f>
        <v>73000</v>
      </c>
      <c r="G19" s="33">
        <v>19400</v>
      </c>
      <c r="H19" s="42">
        <v>38800</v>
      </c>
      <c r="I19" s="35">
        <f t="shared" si="6"/>
        <v>53.150684931506852</v>
      </c>
      <c r="J19" s="33">
        <v>0</v>
      </c>
      <c r="K19" s="36">
        <f>F19-H19-J19</f>
        <v>34200</v>
      </c>
      <c r="L19" s="37">
        <f t="shared" si="7"/>
        <v>38800</v>
      </c>
      <c r="M19" s="43">
        <f t="shared" si="8"/>
        <v>53.150684931506852</v>
      </c>
      <c r="N19" s="39">
        <v>180000</v>
      </c>
      <c r="O19" s="44">
        <f t="shared" si="9"/>
        <v>21.555555555555557</v>
      </c>
    </row>
    <row r="20" spans="1:15" s="41" customFormat="1" ht="18" customHeight="1" x14ac:dyDescent="0.3">
      <c r="A20" s="25" t="s">
        <v>48</v>
      </c>
      <c r="B20" s="29">
        <f>143600</f>
        <v>143600</v>
      </c>
      <c r="C20" s="30">
        <v>0</v>
      </c>
      <c r="D20" s="30">
        <f>18000</f>
        <v>18000</v>
      </c>
      <c r="E20" s="30">
        <v>0</v>
      </c>
      <c r="F20" s="32">
        <f t="shared" si="3"/>
        <v>125600</v>
      </c>
      <c r="G20" s="33">
        <v>20000</v>
      </c>
      <c r="H20" s="42">
        <v>60000</v>
      </c>
      <c r="I20" s="35">
        <f t="shared" si="6"/>
        <v>47.770700636942678</v>
      </c>
      <c r="J20" s="33">
        <v>0</v>
      </c>
      <c r="K20" s="36">
        <f t="shared" ref="K20:K22" si="10">F20-H20-J20</f>
        <v>65600</v>
      </c>
      <c r="L20" s="49">
        <f>J20+H20</f>
        <v>60000</v>
      </c>
      <c r="M20" s="43">
        <f t="shared" si="8"/>
        <v>47.770700636942678</v>
      </c>
      <c r="N20" s="39">
        <v>264000</v>
      </c>
      <c r="O20" s="44">
        <f t="shared" si="9"/>
        <v>22.727272727272727</v>
      </c>
    </row>
    <row r="21" spans="1:15" s="41" customFormat="1" ht="18" customHeight="1" x14ac:dyDescent="0.3">
      <c r="A21" s="25" t="s">
        <v>49</v>
      </c>
      <c r="B21" s="29">
        <v>88100</v>
      </c>
      <c r="C21" s="30">
        <v>0</v>
      </c>
      <c r="D21" s="30">
        <v>0</v>
      </c>
      <c r="E21" s="30">
        <v>0</v>
      </c>
      <c r="F21" s="32">
        <f t="shared" si="3"/>
        <v>88100</v>
      </c>
      <c r="G21" s="33">
        <v>50066</v>
      </c>
      <c r="H21" s="42">
        <v>50066</v>
      </c>
      <c r="I21" s="35">
        <f t="shared" si="6"/>
        <v>56.828603859250855</v>
      </c>
      <c r="J21" s="33">
        <v>0</v>
      </c>
      <c r="K21" s="36">
        <f t="shared" si="10"/>
        <v>38034</v>
      </c>
      <c r="L21" s="49">
        <f>J21+H21</f>
        <v>50066</v>
      </c>
      <c r="M21" s="38">
        <f t="shared" si="8"/>
        <v>56.828603859250855</v>
      </c>
      <c r="N21" s="39">
        <v>351000</v>
      </c>
      <c r="O21" s="40">
        <f t="shared" si="9"/>
        <v>14.263817663817663</v>
      </c>
    </row>
    <row r="22" spans="1:15" s="41" customFormat="1" ht="18" customHeight="1" x14ac:dyDescent="0.3">
      <c r="A22" s="25" t="s">
        <v>50</v>
      </c>
      <c r="B22" s="29">
        <v>671000</v>
      </c>
      <c r="C22" s="30">
        <v>0</v>
      </c>
      <c r="D22" s="30">
        <v>0</v>
      </c>
      <c r="E22" s="30">
        <v>0</v>
      </c>
      <c r="F22" s="32">
        <f t="shared" si="3"/>
        <v>671000</v>
      </c>
      <c r="G22" s="33">
        <v>0</v>
      </c>
      <c r="H22" s="42"/>
      <c r="I22" s="35">
        <v>0</v>
      </c>
      <c r="J22" s="33">
        <v>0</v>
      </c>
      <c r="K22" s="36">
        <f t="shared" si="10"/>
        <v>671000</v>
      </c>
      <c r="L22" s="49">
        <f t="shared" si="7"/>
        <v>0</v>
      </c>
      <c r="M22" s="38">
        <v>0</v>
      </c>
      <c r="N22" s="39">
        <v>49000</v>
      </c>
      <c r="O22" s="44">
        <f t="shared" si="9"/>
        <v>0</v>
      </c>
    </row>
    <row r="23" spans="1:15" s="80" customFormat="1" ht="18" customHeight="1" x14ac:dyDescent="0.3">
      <c r="A23" s="70" t="s">
        <v>15</v>
      </c>
      <c r="B23" s="71">
        <f>SUM(B5:B22)</f>
        <v>13623920</v>
      </c>
      <c r="C23" s="71">
        <f>SUM(C5:C22)</f>
        <v>120000</v>
      </c>
      <c r="D23" s="71">
        <f>SUM(D5:D22)</f>
        <v>5381440</v>
      </c>
      <c r="E23" s="71">
        <f>SUM(E6:E22)</f>
        <v>0</v>
      </c>
      <c r="F23" s="72">
        <f>SUM(F5:F22)</f>
        <v>8362480</v>
      </c>
      <c r="G23" s="73">
        <f>SUM(G5:G22)</f>
        <v>883153</v>
      </c>
      <c r="H23" s="74">
        <f>SUM(H6:H22)</f>
        <v>1852307.65</v>
      </c>
      <c r="I23" s="75">
        <f>H23*100/F23</f>
        <v>22.15021919334934</v>
      </c>
      <c r="J23" s="73">
        <f>SUM(J5:J22)</f>
        <v>647790</v>
      </c>
      <c r="K23" s="76">
        <f>SUM(K5:K22)</f>
        <v>5862382.3499999996</v>
      </c>
      <c r="L23" s="77">
        <f>SUM(L5:L22)</f>
        <v>2500097.65</v>
      </c>
      <c r="M23" s="78">
        <f>L23*100/F23</f>
        <v>29.896605432838104</v>
      </c>
      <c r="N23" s="79">
        <f>SUM(N5:N22)</f>
        <v>18328700</v>
      </c>
      <c r="O23" s="75">
        <f>L23*100/N23</f>
        <v>13.640343559554141</v>
      </c>
    </row>
    <row r="24" spans="1:15" s="80" customFormat="1" ht="18" customHeight="1" x14ac:dyDescent="0.3">
      <c r="A24" s="81" t="s">
        <v>19</v>
      </c>
      <c r="B24" s="82">
        <f>B23-B22</f>
        <v>12952920</v>
      </c>
      <c r="C24" s="82">
        <f>C23-C22</f>
        <v>120000</v>
      </c>
      <c r="D24" s="82">
        <f>D23-D22</f>
        <v>5381440</v>
      </c>
      <c r="E24" s="98" t="s">
        <v>55</v>
      </c>
      <c r="F24" s="96">
        <f>F23-F22</f>
        <v>7691480</v>
      </c>
      <c r="G24" s="82">
        <f t="shared" ref="G24" si="11">G23-G22</f>
        <v>883153</v>
      </c>
      <c r="H24" s="82">
        <f>H23-H22</f>
        <v>1852307.65</v>
      </c>
      <c r="I24" s="82">
        <f>H24*100/F24</f>
        <v>24.082590736763276</v>
      </c>
      <c r="J24" s="82">
        <f>J23-J22</f>
        <v>647790</v>
      </c>
      <c r="K24" s="82">
        <f>K23-K22</f>
        <v>5191382.3499999996</v>
      </c>
      <c r="L24" s="82">
        <f>L23-L22</f>
        <v>2500097.65</v>
      </c>
      <c r="M24" s="104">
        <f>L24*100/F24</f>
        <v>32.50476696292521</v>
      </c>
      <c r="N24" s="83" t="e">
        <f>N23-N22-#REF!-#REF!</f>
        <v>#REF!</v>
      </c>
      <c r="O24" s="84" t="e">
        <f>L24*100/N24</f>
        <v>#REF!</v>
      </c>
    </row>
    <row r="25" spans="1:15" s="41" customFormat="1" ht="18" customHeight="1" x14ac:dyDescent="0.3">
      <c r="A25" s="6" t="s">
        <v>20</v>
      </c>
      <c r="B25" s="85"/>
      <c r="C25" s="85"/>
      <c r="D25" s="85"/>
      <c r="E25" s="85"/>
      <c r="F25" s="86"/>
      <c r="G25" s="86"/>
      <c r="H25" s="87">
        <f>H24+J24</f>
        <v>2500097.65</v>
      </c>
      <c r="I25" s="88">
        <f>H25*100/F24</f>
        <v>32.50476696292521</v>
      </c>
      <c r="J25" s="86"/>
      <c r="K25" s="89"/>
      <c r="L25" s="86"/>
      <c r="M25" s="90"/>
      <c r="N25" s="86"/>
      <c r="O25" s="86"/>
    </row>
    <row r="26" spans="1:15" s="41" customFormat="1" ht="18" customHeight="1" x14ac:dyDescent="0.3">
      <c r="A26" s="91" t="s">
        <v>46</v>
      </c>
      <c r="B26" s="99"/>
      <c r="C26" s="120" t="s">
        <v>35</v>
      </c>
      <c r="D26" s="121"/>
      <c r="E26" s="121"/>
      <c r="F26" s="121"/>
      <c r="G26" s="99">
        <v>45</v>
      </c>
      <c r="H26" s="120" t="s">
        <v>36</v>
      </c>
      <c r="I26" s="121"/>
      <c r="J26" s="121"/>
      <c r="K26" s="20">
        <v>95</v>
      </c>
      <c r="L26" s="21"/>
      <c r="M26" s="21"/>
      <c r="N26" s="99">
        <v>97</v>
      </c>
      <c r="O26" s="20"/>
    </row>
    <row r="27" spans="1:15" ht="15.75" customHeight="1" x14ac:dyDescent="0.3">
      <c r="B27" s="5"/>
      <c r="C27" s="103"/>
      <c r="D27" s="103"/>
      <c r="E27" s="93"/>
      <c r="F27" s="92">
        <f>F23-[1]ธค.62!$E$29</f>
        <v>671000</v>
      </c>
      <c r="G27" s="93">
        <f>G23-[1]ธค.62!$F$29</f>
        <v>0</v>
      </c>
      <c r="H27" s="93">
        <f>H23-[1]ธค.62!$G$29</f>
        <v>0</v>
      </c>
      <c r="I27" s="94"/>
      <c r="J27" s="93">
        <f>J23-[1]ธค.62!$H$29</f>
        <v>0</v>
      </c>
      <c r="K27" s="93">
        <f>K23-[1]ธค.62!$I$29</f>
        <v>671000</v>
      </c>
    </row>
    <row r="30" spans="1:15" x14ac:dyDescent="0.3">
      <c r="L30" s="5"/>
      <c r="M30" s="5"/>
      <c r="N30" s="5"/>
      <c r="O30" s="5"/>
    </row>
  </sheetData>
  <mergeCells count="5">
    <mergeCell ref="A1:K1"/>
    <mergeCell ref="C2:D2"/>
    <mergeCell ref="E2:E4"/>
    <mergeCell ref="C26:F26"/>
    <mergeCell ref="H26:J26"/>
  </mergeCells>
  <pageMargins left="0.19685039370078741" right="0.15748031496062992" top="0.26" bottom="0.15748031496062992" header="0.19685039370078741" footer="0.15748031496062992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view="pageBreakPreview" zoomScaleNormal="80" zoomScaleSheetLayoutView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E7" sqref="E7"/>
    </sheetView>
  </sheetViews>
  <sheetFormatPr defaultRowHeight="18.75" x14ac:dyDescent="0.3"/>
  <cols>
    <col min="1" max="1" width="51" style="4" customWidth="1"/>
    <col min="2" max="2" width="12" style="4" customWidth="1"/>
    <col min="3" max="3" width="10" style="4" customWidth="1"/>
    <col min="4" max="4" width="10.7109375" style="4" customWidth="1"/>
    <col min="5" max="5" width="10.85546875" style="4" customWidth="1"/>
    <col min="6" max="6" width="12.28515625" style="4" customWidth="1"/>
    <col min="7" max="7" width="13" style="4" customWidth="1"/>
    <col min="8" max="8" width="14.85546875" style="4" customWidth="1"/>
    <col min="9" max="9" width="8.42578125" style="4" customWidth="1"/>
    <col min="10" max="10" width="11.5703125" style="4" customWidth="1"/>
    <col min="11" max="11" width="14.7109375" style="4" customWidth="1"/>
    <col min="12" max="12" width="14.5703125" style="4" customWidth="1"/>
    <col min="13" max="13" width="9.42578125" style="4" customWidth="1"/>
    <col min="14" max="14" width="13.85546875" style="4" hidden="1" customWidth="1"/>
    <col min="15" max="15" width="0.5703125" style="4" hidden="1" customWidth="1"/>
    <col min="16" max="16384" width="9.140625" style="4"/>
  </cols>
  <sheetData>
    <row r="1" spans="1:18" s="1" customFormat="1" ht="24.75" customHeight="1" x14ac:dyDescent="0.2">
      <c r="A1" s="116" t="s">
        <v>61</v>
      </c>
      <c r="B1" s="116"/>
      <c r="C1" s="116"/>
      <c r="D1" s="116"/>
      <c r="E1" s="116"/>
      <c r="F1" s="116"/>
      <c r="G1" s="117"/>
      <c r="H1" s="117"/>
      <c r="I1" s="117"/>
      <c r="J1" s="116"/>
      <c r="K1" s="116"/>
    </row>
    <row r="2" spans="1:18" s="2" customFormat="1" ht="18.75" customHeight="1" x14ac:dyDescent="0.3">
      <c r="A2" s="7" t="s">
        <v>0</v>
      </c>
      <c r="B2" s="7" t="s">
        <v>1</v>
      </c>
      <c r="C2" s="118" t="s">
        <v>4</v>
      </c>
      <c r="D2" s="119"/>
      <c r="E2" s="122" t="s">
        <v>53</v>
      </c>
      <c r="F2" s="8" t="s">
        <v>1</v>
      </c>
      <c r="G2" s="7" t="s">
        <v>10</v>
      </c>
      <c r="H2" s="8" t="s">
        <v>16</v>
      </c>
      <c r="I2" s="7" t="s">
        <v>21</v>
      </c>
      <c r="J2" s="7" t="s">
        <v>12</v>
      </c>
      <c r="K2" s="7" t="s">
        <v>14</v>
      </c>
      <c r="L2" s="7" t="s">
        <v>22</v>
      </c>
      <c r="M2" s="7" t="s">
        <v>21</v>
      </c>
      <c r="N2" s="22" t="s">
        <v>23</v>
      </c>
      <c r="O2" s="7" t="s">
        <v>21</v>
      </c>
    </row>
    <row r="3" spans="1:18" s="2" customFormat="1" ht="16.5" customHeight="1" x14ac:dyDescent="0.3">
      <c r="A3" s="9"/>
      <c r="B3" s="9" t="s">
        <v>2</v>
      </c>
      <c r="C3" s="10" t="s">
        <v>5</v>
      </c>
      <c r="D3" s="7" t="s">
        <v>7</v>
      </c>
      <c r="E3" s="123"/>
      <c r="F3" s="11" t="s">
        <v>9</v>
      </c>
      <c r="G3" s="9"/>
      <c r="H3" s="11"/>
      <c r="I3" s="12" t="s">
        <v>34</v>
      </c>
      <c r="J3" s="9" t="s">
        <v>13</v>
      </c>
      <c r="K3" s="9" t="s">
        <v>26</v>
      </c>
      <c r="L3" s="9"/>
      <c r="M3" s="12" t="s">
        <v>27</v>
      </c>
      <c r="N3" s="23" t="s">
        <v>24</v>
      </c>
      <c r="O3" s="18" t="s">
        <v>28</v>
      </c>
    </row>
    <row r="4" spans="1:18" s="3" customFormat="1" ht="13.5" customHeight="1" thickBot="1" x14ac:dyDescent="0.25">
      <c r="A4" s="13"/>
      <c r="B4" s="14" t="s">
        <v>3</v>
      </c>
      <c r="C4" s="15" t="s">
        <v>6</v>
      </c>
      <c r="D4" s="14" t="s">
        <v>8</v>
      </c>
      <c r="E4" s="124"/>
      <c r="F4" s="16" t="s">
        <v>25</v>
      </c>
      <c r="G4" s="14" t="s">
        <v>17</v>
      </c>
      <c r="H4" s="16" t="s">
        <v>11</v>
      </c>
      <c r="I4" s="17" t="s">
        <v>33</v>
      </c>
      <c r="J4" s="14"/>
      <c r="K4" s="14"/>
      <c r="L4" s="14" t="s">
        <v>29</v>
      </c>
      <c r="M4" s="19" t="s">
        <v>30</v>
      </c>
      <c r="N4" s="24" t="s">
        <v>31</v>
      </c>
      <c r="O4" s="19" t="s">
        <v>32</v>
      </c>
    </row>
    <row r="5" spans="1:18" s="41" customFormat="1" ht="18" customHeight="1" thickBot="1" x14ac:dyDescent="0.35">
      <c r="A5" s="26" t="s">
        <v>37</v>
      </c>
      <c r="B5" s="52"/>
      <c r="C5" s="53"/>
      <c r="D5" s="53"/>
      <c r="E5" s="53"/>
      <c r="F5" s="54"/>
      <c r="G5" s="55"/>
      <c r="H5" s="55"/>
      <c r="I5" s="55"/>
      <c r="J5" s="56"/>
      <c r="K5" s="56"/>
      <c r="L5" s="57"/>
      <c r="M5" s="58">
        <f>(L6)*100/(F6)</f>
        <v>63.49704109589041</v>
      </c>
      <c r="N5" s="59"/>
      <c r="O5" s="60" t="e">
        <f>(L6+L8+L9+L15+#REF!)*100/(N6+N8+N9+N15+#REF!)</f>
        <v>#REF!</v>
      </c>
    </row>
    <row r="6" spans="1:18" s="41" customFormat="1" ht="39.75" thickBot="1" x14ac:dyDescent="0.35">
      <c r="A6" s="28" t="s">
        <v>52</v>
      </c>
      <c r="B6" s="29">
        <f>0</f>
        <v>0</v>
      </c>
      <c r="C6" s="30">
        <v>0</v>
      </c>
      <c r="D6" s="31">
        <f>815000</f>
        <v>815000</v>
      </c>
      <c r="E6" s="31">
        <f>1860000+200000+580000</f>
        <v>2640000</v>
      </c>
      <c r="F6" s="32">
        <f>B6+C6-D6+E6</f>
        <v>1825000</v>
      </c>
      <c r="G6" s="33">
        <v>398161</v>
      </c>
      <c r="H6" s="34">
        <v>585541</v>
      </c>
      <c r="I6" s="35">
        <f>H6*100/F6</f>
        <v>32.084438356164384</v>
      </c>
      <c r="J6" s="33">
        <v>573280</v>
      </c>
      <c r="K6" s="36">
        <f>F6-H6-J6</f>
        <v>666179</v>
      </c>
      <c r="L6" s="37">
        <f>J6+H6</f>
        <v>1158821</v>
      </c>
      <c r="M6" s="38">
        <f>L6*100/F6</f>
        <v>63.49704109589041</v>
      </c>
      <c r="N6" s="39">
        <v>8800000</v>
      </c>
      <c r="O6" s="40">
        <f>L6*100/N6</f>
        <v>13.168420454545455</v>
      </c>
    </row>
    <row r="7" spans="1:18" s="41" customFormat="1" ht="18" customHeight="1" thickBot="1" x14ac:dyDescent="0.35">
      <c r="A7" s="27" t="s">
        <v>38</v>
      </c>
      <c r="B7" s="61"/>
      <c r="C7" s="62">
        <v>0</v>
      </c>
      <c r="D7" s="63"/>
      <c r="E7" s="63"/>
      <c r="F7" s="64"/>
      <c r="G7" s="36"/>
      <c r="H7" s="36"/>
      <c r="I7" s="65"/>
      <c r="J7" s="36"/>
      <c r="K7" s="36"/>
      <c r="L7" s="66"/>
      <c r="M7" s="58">
        <f>(L8+L9)*100/(F8+F9)</f>
        <v>74.387840745206518</v>
      </c>
      <c r="N7" s="59"/>
      <c r="O7" s="60" t="e">
        <f>(#REF!+#REF!+#REF!+#REF!)*100/(#REF!+#REF!+#REF!+#REF!)</f>
        <v>#REF!</v>
      </c>
    </row>
    <row r="8" spans="1:18" s="41" customFormat="1" ht="39" x14ac:dyDescent="0.3">
      <c r="A8" s="28" t="s">
        <v>43</v>
      </c>
      <c r="B8" s="29">
        <f>4117500</f>
        <v>4117500</v>
      </c>
      <c r="C8" s="30">
        <v>0</v>
      </c>
      <c r="D8" s="31">
        <f>1500000+190000</f>
        <v>1690000</v>
      </c>
      <c r="E8" s="31">
        <v>-1860000</v>
      </c>
      <c r="F8" s="32">
        <f>B8+C8-D8+E8</f>
        <v>567500</v>
      </c>
      <c r="G8" s="33">
        <v>556213</v>
      </c>
      <c r="H8" s="42">
        <v>566669</v>
      </c>
      <c r="I8" s="35">
        <f>H8*100/F8</f>
        <v>99.853568281938323</v>
      </c>
      <c r="J8" s="33">
        <v>0</v>
      </c>
      <c r="K8" s="36">
        <f>F8-H8-J8</f>
        <v>831</v>
      </c>
      <c r="L8" s="37">
        <f>J8+H8</f>
        <v>566669</v>
      </c>
      <c r="M8" s="43">
        <f>L8*100/F8</f>
        <v>99.853568281938323</v>
      </c>
      <c r="N8" s="39">
        <v>2150000</v>
      </c>
      <c r="O8" s="44">
        <f>L8*100/N8</f>
        <v>26.356697674418605</v>
      </c>
      <c r="R8" s="45"/>
    </row>
    <row r="9" spans="1:18" s="41" customFormat="1" ht="39.75" thickBot="1" x14ac:dyDescent="0.35">
      <c r="A9" s="28" t="s">
        <v>54</v>
      </c>
      <c r="B9" s="29">
        <f>2824380</f>
        <v>2824380</v>
      </c>
      <c r="C9" s="30">
        <v>0</v>
      </c>
      <c r="D9" s="30">
        <f>1000000+500000</f>
        <v>1500000</v>
      </c>
      <c r="E9" s="30">
        <v>-200000</v>
      </c>
      <c r="F9" s="32">
        <f>B9+C9-D9+E9</f>
        <v>1124380</v>
      </c>
      <c r="G9" s="33"/>
      <c r="H9" s="42">
        <v>691884</v>
      </c>
      <c r="I9" s="35">
        <f>H9*100/F9</f>
        <v>61.534712463757806</v>
      </c>
      <c r="J9" s="33">
        <v>0</v>
      </c>
      <c r="K9" s="36">
        <f>F9-H9-J9</f>
        <v>432496</v>
      </c>
      <c r="L9" s="37">
        <f>J9+H9</f>
        <v>691884</v>
      </c>
      <c r="M9" s="43">
        <f>L9*100/F9</f>
        <v>61.534712463757806</v>
      </c>
      <c r="N9" s="39">
        <v>1096000</v>
      </c>
      <c r="O9" s="44">
        <f>L9*100/N9</f>
        <v>63.128102189781025</v>
      </c>
      <c r="R9" s="45"/>
    </row>
    <row r="10" spans="1:18" s="41" customFormat="1" ht="18" customHeight="1" thickBot="1" x14ac:dyDescent="0.35">
      <c r="A10" s="27" t="s">
        <v>39</v>
      </c>
      <c r="B10" s="67"/>
      <c r="C10" s="62"/>
      <c r="D10" s="62"/>
      <c r="E10" s="62"/>
      <c r="F10" s="64"/>
      <c r="G10" s="36"/>
      <c r="H10" s="36"/>
      <c r="I10" s="65"/>
      <c r="J10" s="36"/>
      <c r="K10" s="36"/>
      <c r="L10" s="36"/>
      <c r="M10" s="69">
        <f>(L11+L12+L13)*100/(F11+F12+F13)</f>
        <v>13.520833333333334</v>
      </c>
      <c r="N10" s="68"/>
      <c r="O10" s="60" t="e">
        <f>#REF!*100/#REF!</f>
        <v>#REF!</v>
      </c>
    </row>
    <row r="11" spans="1:18" s="41" customFormat="1" ht="18" customHeight="1" x14ac:dyDescent="0.3">
      <c r="A11" s="28" t="s">
        <v>60</v>
      </c>
      <c r="B11" s="101"/>
      <c r="C11" s="102">
        <f>120000</f>
        <v>120000</v>
      </c>
      <c r="D11" s="102"/>
      <c r="E11" s="102"/>
      <c r="F11" s="32">
        <f>B11+C11-D11+E11</f>
        <v>120000</v>
      </c>
      <c r="G11" s="33">
        <v>16225</v>
      </c>
      <c r="H11" s="42">
        <v>16225</v>
      </c>
      <c r="I11" s="35">
        <f t="shared" ref="I11" si="0">H11*100/F11</f>
        <v>13.520833333333334</v>
      </c>
      <c r="J11" s="33">
        <v>0</v>
      </c>
      <c r="K11" s="36">
        <f t="shared" ref="K11" si="1">F11-H11-J11</f>
        <v>103775</v>
      </c>
      <c r="L11" s="37">
        <f t="shared" ref="L11" si="2">J11+H11</f>
        <v>16225</v>
      </c>
      <c r="M11" s="37">
        <f>L11*100/F11</f>
        <v>13.520833333333334</v>
      </c>
      <c r="N11" s="68"/>
      <c r="O11" s="100"/>
    </row>
    <row r="12" spans="1:18" s="41" customFormat="1" ht="39" x14ac:dyDescent="0.3">
      <c r="A12" s="28" t="s">
        <v>58</v>
      </c>
      <c r="B12" s="29">
        <f>0</f>
        <v>0</v>
      </c>
      <c r="C12" s="30">
        <v>0</v>
      </c>
      <c r="D12" s="30">
        <v>0</v>
      </c>
      <c r="E12" s="30">
        <v>0</v>
      </c>
      <c r="F12" s="32">
        <v>0</v>
      </c>
      <c r="G12" s="33">
        <v>0</v>
      </c>
      <c r="H12" s="42">
        <v>0</v>
      </c>
      <c r="I12" s="35">
        <v>0</v>
      </c>
      <c r="J12" s="33">
        <v>0</v>
      </c>
      <c r="K12" s="36">
        <f>F12-H12-J12</f>
        <v>0</v>
      </c>
      <c r="L12" s="37">
        <f>J12+H12</f>
        <v>0</v>
      </c>
      <c r="M12" s="37">
        <v>0</v>
      </c>
      <c r="N12" s="39">
        <f>F12</f>
        <v>0</v>
      </c>
      <c r="O12" s="40" t="e">
        <f>L12*100/N12</f>
        <v>#DIV/0!</v>
      </c>
    </row>
    <row r="13" spans="1:18" s="41" customFormat="1" ht="18" customHeight="1" thickBot="1" x14ac:dyDescent="0.35">
      <c r="A13" s="28" t="s">
        <v>59</v>
      </c>
      <c r="B13" s="29">
        <f>0</f>
        <v>0</v>
      </c>
      <c r="C13" s="30">
        <v>0</v>
      </c>
      <c r="D13" s="30">
        <v>0</v>
      </c>
      <c r="E13" s="30">
        <v>0</v>
      </c>
      <c r="F13" s="32">
        <f t="shared" ref="F13:F21" si="3">B13+C13-D13</f>
        <v>0</v>
      </c>
      <c r="G13" s="33">
        <v>0</v>
      </c>
      <c r="H13" s="42">
        <v>0</v>
      </c>
      <c r="I13" s="35">
        <v>0</v>
      </c>
      <c r="J13" s="33">
        <v>0</v>
      </c>
      <c r="K13" s="36">
        <f>F13-H13-J13</f>
        <v>0</v>
      </c>
      <c r="L13" s="49">
        <f>J13+H13</f>
        <v>0</v>
      </c>
      <c r="M13" s="38">
        <v>0</v>
      </c>
      <c r="N13" s="51"/>
      <c r="O13" s="50"/>
    </row>
    <row r="14" spans="1:18" s="41" customFormat="1" ht="18" customHeight="1" thickBot="1" x14ac:dyDescent="0.35">
      <c r="A14" s="26" t="s">
        <v>41</v>
      </c>
      <c r="B14" s="61"/>
      <c r="C14" s="62"/>
      <c r="D14" s="62"/>
      <c r="E14" s="62"/>
      <c r="F14" s="64"/>
      <c r="G14" s="55"/>
      <c r="H14" s="55"/>
      <c r="I14" s="55"/>
      <c r="J14" s="36"/>
      <c r="K14" s="36"/>
      <c r="L14" s="66"/>
      <c r="M14" s="58">
        <f>(L15)*100/(F15)</f>
        <v>65.846257425742579</v>
      </c>
      <c r="N14" s="59"/>
      <c r="O14" s="60" t="e">
        <f>(L16+L21+#REF!+L17+#REF!)*100/(N16+N21+#REF!+N17+#REF!)</f>
        <v>#REF!</v>
      </c>
    </row>
    <row r="15" spans="1:18" s="41" customFormat="1" ht="18" customHeight="1" thickBot="1" x14ac:dyDescent="0.35">
      <c r="A15" s="28" t="s">
        <v>42</v>
      </c>
      <c r="B15" s="29">
        <f>3866940</f>
        <v>3866940</v>
      </c>
      <c r="C15" s="30">
        <v>0</v>
      </c>
      <c r="D15" s="31">
        <f>2024440</f>
        <v>2024440</v>
      </c>
      <c r="E15" s="31">
        <v>-580000</v>
      </c>
      <c r="F15" s="32">
        <f>B15+C15-D15+E15</f>
        <v>1262500</v>
      </c>
      <c r="G15" s="33">
        <v>16920</v>
      </c>
      <c r="H15" s="42">
        <v>548289</v>
      </c>
      <c r="I15" s="35">
        <f t="shared" ref="I15" si="4">H15*100/F15</f>
        <v>43.428831683168319</v>
      </c>
      <c r="J15" s="33">
        <v>283020</v>
      </c>
      <c r="K15" s="36">
        <f>F15-H15-J15</f>
        <v>431191</v>
      </c>
      <c r="L15" s="37">
        <f>J15+H15</f>
        <v>831309</v>
      </c>
      <c r="M15" s="46">
        <f t="shared" ref="M15" si="5">L15*100/F15</f>
        <v>65.846257425742579</v>
      </c>
      <c r="N15" s="39">
        <v>2540000</v>
      </c>
      <c r="O15" s="47">
        <f>L15*100/N15</f>
        <v>32.728700787401571</v>
      </c>
      <c r="R15" s="48"/>
    </row>
    <row r="16" spans="1:18" s="41" customFormat="1" ht="18" customHeight="1" thickBot="1" x14ac:dyDescent="0.35">
      <c r="A16" s="27" t="s">
        <v>40</v>
      </c>
      <c r="B16" s="61"/>
      <c r="C16" s="62"/>
      <c r="D16" s="62"/>
      <c r="E16" s="62"/>
      <c r="F16" s="64"/>
      <c r="G16" s="36"/>
      <c r="H16" s="36"/>
      <c r="I16" s="65"/>
      <c r="J16" s="36"/>
      <c r="K16" s="36"/>
      <c r="L16" s="36"/>
      <c r="M16" s="69">
        <f>(L17+L19+L20+L21)*100 /(F17+F19+F20+F21)</f>
        <v>30.944613320017478</v>
      </c>
      <c r="N16" s="68"/>
      <c r="O16" s="60">
        <f>(L17+L19+L20+L21)*100/(N17+N19+N20+N21)</f>
        <v>13.421871023634838</v>
      </c>
    </row>
    <row r="17" spans="1:15" s="41" customFormat="1" ht="18" customHeight="1" x14ac:dyDescent="0.3">
      <c r="A17" s="25" t="s">
        <v>18</v>
      </c>
      <c r="B17" s="29">
        <f>1315400</f>
        <v>1315400</v>
      </c>
      <c r="C17" s="30">
        <v>0</v>
      </c>
      <c r="D17" s="30">
        <v>0</v>
      </c>
      <c r="E17" s="30">
        <v>0</v>
      </c>
      <c r="F17" s="51">
        <f>B17+C17-D17</f>
        <v>1315400</v>
      </c>
      <c r="G17" s="33">
        <v>39579</v>
      </c>
      <c r="H17" s="42">
        <v>308097.65000000002</v>
      </c>
      <c r="I17" s="35">
        <f t="shared" ref="I17:I21" si="6">H17*100/F17</f>
        <v>23.422354416907407</v>
      </c>
      <c r="J17" s="33">
        <v>4600</v>
      </c>
      <c r="K17" s="36">
        <f>F17-H17-J17</f>
        <v>1002702.35</v>
      </c>
      <c r="L17" s="37">
        <f t="shared" ref="L17:L22" si="7">J17+H17</f>
        <v>312697.65000000002</v>
      </c>
      <c r="M17" s="38">
        <f t="shared" ref="M17:M21" si="8">L17*100/F17</f>
        <v>23.772057929147032</v>
      </c>
      <c r="N17" s="39">
        <v>2898700</v>
      </c>
      <c r="O17" s="40">
        <f t="shared" ref="O17:O22" si="9">L17*100/N17</f>
        <v>10.787513368061546</v>
      </c>
    </row>
    <row r="18" spans="1:15" s="41" customFormat="1" ht="18" customHeight="1" x14ac:dyDescent="0.3">
      <c r="A18" s="25" t="s">
        <v>51</v>
      </c>
      <c r="B18" s="29">
        <f>500000</f>
        <v>500000</v>
      </c>
      <c r="C18" s="30">
        <v>0</v>
      </c>
      <c r="D18" s="30">
        <v>0</v>
      </c>
      <c r="E18" s="30">
        <v>0</v>
      </c>
      <c r="F18" s="51">
        <f>B18+C18-D18</f>
        <v>500000</v>
      </c>
      <c r="G18" s="33">
        <v>456704</v>
      </c>
      <c r="H18" s="42">
        <v>470538</v>
      </c>
      <c r="I18" s="35">
        <f t="shared" si="6"/>
        <v>94.107600000000005</v>
      </c>
      <c r="J18" s="33">
        <v>0</v>
      </c>
      <c r="K18" s="36">
        <f>F18-H18-J18</f>
        <v>29462</v>
      </c>
      <c r="L18" s="37">
        <f t="shared" si="7"/>
        <v>470538</v>
      </c>
      <c r="M18" s="38">
        <f t="shared" si="8"/>
        <v>94.107600000000005</v>
      </c>
      <c r="N18" s="39"/>
      <c r="O18" s="40"/>
    </row>
    <row r="19" spans="1:15" s="41" customFormat="1" ht="18" customHeight="1" x14ac:dyDescent="0.3">
      <c r="A19" s="25" t="s">
        <v>47</v>
      </c>
      <c r="B19" s="29">
        <f>97000</f>
        <v>97000</v>
      </c>
      <c r="C19" s="30">
        <v>0</v>
      </c>
      <c r="D19" s="30">
        <f>24000</f>
        <v>24000</v>
      </c>
      <c r="E19" s="30">
        <v>0</v>
      </c>
      <c r="F19" s="32">
        <f>B19+C19-D19</f>
        <v>73000</v>
      </c>
      <c r="G19" s="33">
        <v>14200</v>
      </c>
      <c r="H19" s="42">
        <v>53000</v>
      </c>
      <c r="I19" s="35">
        <f t="shared" si="6"/>
        <v>72.602739726027394</v>
      </c>
      <c r="J19" s="33">
        <v>0</v>
      </c>
      <c r="K19" s="36">
        <f>F19-H19-J19</f>
        <v>20000</v>
      </c>
      <c r="L19" s="37">
        <f t="shared" si="7"/>
        <v>53000</v>
      </c>
      <c r="M19" s="43">
        <f t="shared" si="8"/>
        <v>72.602739726027394</v>
      </c>
      <c r="N19" s="39">
        <v>180000</v>
      </c>
      <c r="O19" s="44">
        <f t="shared" si="9"/>
        <v>29.444444444444443</v>
      </c>
    </row>
    <row r="20" spans="1:15" s="41" customFormat="1" ht="18" customHeight="1" x14ac:dyDescent="0.3">
      <c r="A20" s="25" t="s">
        <v>48</v>
      </c>
      <c r="B20" s="29">
        <f>143600</f>
        <v>143600</v>
      </c>
      <c r="C20" s="30">
        <v>0</v>
      </c>
      <c r="D20" s="30">
        <f>18000</f>
        <v>18000</v>
      </c>
      <c r="E20" s="30">
        <v>0</v>
      </c>
      <c r="F20" s="32">
        <f t="shared" si="3"/>
        <v>125600</v>
      </c>
      <c r="G20" s="33">
        <v>20000</v>
      </c>
      <c r="H20" s="42">
        <v>80000</v>
      </c>
      <c r="I20" s="35">
        <f t="shared" si="6"/>
        <v>63.694267515923563</v>
      </c>
      <c r="J20" s="33">
        <v>0</v>
      </c>
      <c r="K20" s="36">
        <f t="shared" ref="K20:K22" si="10">F20-H20-J20</f>
        <v>45600</v>
      </c>
      <c r="L20" s="49">
        <f>J20+H20</f>
        <v>80000</v>
      </c>
      <c r="M20" s="43">
        <f t="shared" si="8"/>
        <v>63.694267515923563</v>
      </c>
      <c r="N20" s="39">
        <v>264000</v>
      </c>
      <c r="O20" s="44">
        <f t="shared" si="9"/>
        <v>30.303030303030305</v>
      </c>
    </row>
    <row r="21" spans="1:15" s="41" customFormat="1" ht="18" customHeight="1" x14ac:dyDescent="0.3">
      <c r="A21" s="25" t="s">
        <v>49</v>
      </c>
      <c r="B21" s="29">
        <v>88100</v>
      </c>
      <c r="C21" s="30">
        <v>0</v>
      </c>
      <c r="D21" s="30">
        <v>0</v>
      </c>
      <c r="E21" s="30">
        <v>0</v>
      </c>
      <c r="F21" s="32">
        <f t="shared" si="3"/>
        <v>88100</v>
      </c>
      <c r="G21" s="33">
        <v>0</v>
      </c>
      <c r="H21" s="42">
        <v>50066</v>
      </c>
      <c r="I21" s="35">
        <f t="shared" si="6"/>
        <v>56.828603859250855</v>
      </c>
      <c r="J21" s="33">
        <v>0</v>
      </c>
      <c r="K21" s="36">
        <f t="shared" si="10"/>
        <v>38034</v>
      </c>
      <c r="L21" s="49">
        <f>J21+H21</f>
        <v>50066</v>
      </c>
      <c r="M21" s="38">
        <f t="shared" si="8"/>
        <v>56.828603859250855</v>
      </c>
      <c r="N21" s="39">
        <v>351000</v>
      </c>
      <c r="O21" s="40">
        <f t="shared" si="9"/>
        <v>14.263817663817663</v>
      </c>
    </row>
    <row r="22" spans="1:15" s="41" customFormat="1" ht="18" customHeight="1" x14ac:dyDescent="0.3">
      <c r="A22" s="25" t="s">
        <v>50</v>
      </c>
      <c r="B22" s="29">
        <v>671000</v>
      </c>
      <c r="C22" s="30">
        <v>0</v>
      </c>
      <c r="D22" s="30">
        <v>0</v>
      </c>
      <c r="E22" s="30">
        <v>0</v>
      </c>
      <c r="F22" s="32">
        <v>0</v>
      </c>
      <c r="G22" s="33">
        <v>0</v>
      </c>
      <c r="H22" s="42">
        <v>0</v>
      </c>
      <c r="I22" s="35">
        <v>0</v>
      </c>
      <c r="J22" s="33">
        <v>0</v>
      </c>
      <c r="K22" s="36">
        <f t="shared" si="10"/>
        <v>0</v>
      </c>
      <c r="L22" s="49">
        <f t="shared" si="7"/>
        <v>0</v>
      </c>
      <c r="M22" s="38">
        <v>0</v>
      </c>
      <c r="N22" s="39">
        <v>49000</v>
      </c>
      <c r="O22" s="44">
        <f t="shared" si="9"/>
        <v>0</v>
      </c>
    </row>
    <row r="23" spans="1:15" s="80" customFormat="1" ht="18" customHeight="1" x14ac:dyDescent="0.3">
      <c r="A23" s="70" t="s">
        <v>15</v>
      </c>
      <c r="B23" s="71">
        <f>SUM(B5:B22)</f>
        <v>13623920</v>
      </c>
      <c r="C23" s="71">
        <f>SUM(C5:C22)</f>
        <v>120000</v>
      </c>
      <c r="D23" s="71">
        <f>SUM(D5:D22)</f>
        <v>6071440</v>
      </c>
      <c r="E23" s="71">
        <f>SUM(E6:E22)</f>
        <v>0</v>
      </c>
      <c r="F23" s="72">
        <f>SUM(F5:F22)</f>
        <v>7001480</v>
      </c>
      <c r="G23" s="73">
        <f>SUM(G5:G22)</f>
        <v>1518002</v>
      </c>
      <c r="H23" s="74">
        <f>SUM(H6:H22)</f>
        <v>3370309.65</v>
      </c>
      <c r="I23" s="75">
        <f>H23*100/F23</f>
        <v>48.137103155332873</v>
      </c>
      <c r="J23" s="73">
        <f>SUM(J5:J22)</f>
        <v>860900</v>
      </c>
      <c r="K23" s="76">
        <f>SUM(K5:K22)</f>
        <v>2770270.35</v>
      </c>
      <c r="L23" s="77">
        <f>SUM(L5:L22)</f>
        <v>4231209.6500000004</v>
      </c>
      <c r="M23" s="78">
        <f>L23*100/F23</f>
        <v>60.433074864171587</v>
      </c>
      <c r="N23" s="79">
        <f>SUM(N5:N22)</f>
        <v>18328700</v>
      </c>
      <c r="O23" s="75">
        <f>L23*100/N23</f>
        <v>23.085159613065851</v>
      </c>
    </row>
    <row r="24" spans="1:15" s="80" customFormat="1" ht="18" customHeight="1" x14ac:dyDescent="0.3">
      <c r="A24" s="81" t="s">
        <v>19</v>
      </c>
      <c r="B24" s="82">
        <f>B23-B22</f>
        <v>12952920</v>
      </c>
      <c r="C24" s="82">
        <f>C23-C22</f>
        <v>120000</v>
      </c>
      <c r="D24" s="82">
        <f>D23-D22</f>
        <v>6071440</v>
      </c>
      <c r="E24" s="98" t="s">
        <v>55</v>
      </c>
      <c r="F24" s="96">
        <f>F23-F22</f>
        <v>7001480</v>
      </c>
      <c r="G24" s="82">
        <f t="shared" ref="G24" si="11">G23-G22</f>
        <v>1518002</v>
      </c>
      <c r="H24" s="82">
        <f>H23-H22</f>
        <v>3370309.65</v>
      </c>
      <c r="I24" s="82">
        <f>H24*100/F24</f>
        <v>48.137103155332873</v>
      </c>
      <c r="J24" s="82">
        <f>J23-J22</f>
        <v>860900</v>
      </c>
      <c r="K24" s="82">
        <f>K23-K22</f>
        <v>2770270.35</v>
      </c>
      <c r="L24" s="82">
        <f>L23-L22</f>
        <v>4231209.6500000004</v>
      </c>
      <c r="M24" s="104">
        <f>L24*100/F24</f>
        <v>60.433074864171587</v>
      </c>
      <c r="N24" s="83" t="e">
        <f>N23-N22-#REF!-#REF!</f>
        <v>#REF!</v>
      </c>
      <c r="O24" s="84" t="e">
        <f>L24*100/N24</f>
        <v>#REF!</v>
      </c>
    </row>
    <row r="25" spans="1:15" s="41" customFormat="1" ht="18" customHeight="1" x14ac:dyDescent="0.3">
      <c r="A25" s="6" t="s">
        <v>20</v>
      </c>
      <c r="B25" s="85"/>
      <c r="C25" s="85"/>
      <c r="D25" s="85"/>
      <c r="E25" s="85"/>
      <c r="F25" s="86"/>
      <c r="G25" s="86"/>
      <c r="H25" s="87">
        <f>H24+J24</f>
        <v>4231209.6500000004</v>
      </c>
      <c r="I25" s="88">
        <f>H25*100/F24</f>
        <v>60.433074864171587</v>
      </c>
      <c r="J25" s="86"/>
      <c r="K25" s="89"/>
      <c r="L25" s="86"/>
      <c r="M25" s="90"/>
      <c r="N25" s="86"/>
      <c r="O25" s="86"/>
    </row>
    <row r="26" spans="1:15" s="41" customFormat="1" ht="18" customHeight="1" x14ac:dyDescent="0.3">
      <c r="A26" s="91" t="s">
        <v>46</v>
      </c>
      <c r="B26" s="105"/>
      <c r="C26" s="120" t="s">
        <v>35</v>
      </c>
      <c r="D26" s="121"/>
      <c r="E26" s="121"/>
      <c r="F26" s="121"/>
      <c r="G26" s="105">
        <v>45</v>
      </c>
      <c r="H26" s="120" t="s">
        <v>36</v>
      </c>
      <c r="I26" s="121"/>
      <c r="J26" s="121"/>
      <c r="K26" s="20">
        <v>95</v>
      </c>
      <c r="L26" s="21"/>
      <c r="M26" s="21"/>
      <c r="N26" s="105">
        <v>97</v>
      </c>
      <c r="O26" s="20"/>
    </row>
    <row r="27" spans="1:15" ht="15.75" customHeight="1" x14ac:dyDescent="0.3">
      <c r="B27" s="5"/>
      <c r="C27" s="103"/>
      <c r="D27" s="103"/>
      <c r="E27" s="93"/>
      <c r="F27" s="92">
        <f>F23-[1]มค.63!$E$29</f>
        <v>0</v>
      </c>
      <c r="G27" s="93">
        <f>G23-[1]มค.63!$F$29</f>
        <v>0</v>
      </c>
      <c r="H27" s="93">
        <f>H23-[1]มค.63!$G$29</f>
        <v>0</v>
      </c>
      <c r="I27" s="94"/>
      <c r="J27" s="93">
        <f>J23-[1]มค.63!$H$29</f>
        <v>0</v>
      </c>
      <c r="K27" s="93">
        <f>K23-[1]มค.63!$I$29</f>
        <v>0</v>
      </c>
    </row>
    <row r="30" spans="1:15" x14ac:dyDescent="0.3">
      <c r="L30" s="5"/>
      <c r="M30" s="5"/>
      <c r="N30" s="5"/>
      <c r="O30" s="5"/>
    </row>
  </sheetData>
  <mergeCells count="5">
    <mergeCell ref="A1:K1"/>
    <mergeCell ref="C2:D2"/>
    <mergeCell ref="E2:E4"/>
    <mergeCell ref="C26:F26"/>
    <mergeCell ref="H26:J26"/>
  </mergeCells>
  <pageMargins left="0.19685039370078741" right="0.15748031496062992" top="0.26" bottom="0.15748031496062992" header="0.19685039370078741" footer="0.15748031496062992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view="pageBreakPreview" zoomScaleNormal="8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2" sqref="F22"/>
    </sheetView>
  </sheetViews>
  <sheetFormatPr defaultRowHeight="18.75" x14ac:dyDescent="0.3"/>
  <cols>
    <col min="1" max="1" width="51" style="4" customWidth="1"/>
    <col min="2" max="2" width="12" style="4" customWidth="1"/>
    <col min="3" max="3" width="10" style="4" customWidth="1"/>
    <col min="4" max="4" width="10.7109375" style="4" customWidth="1"/>
    <col min="5" max="5" width="10.85546875" style="4" customWidth="1"/>
    <col min="6" max="6" width="12.28515625" style="4" customWidth="1"/>
    <col min="7" max="7" width="13" style="4" customWidth="1"/>
    <col min="8" max="8" width="14.85546875" style="4" customWidth="1"/>
    <col min="9" max="9" width="8.42578125" style="4" customWidth="1"/>
    <col min="10" max="10" width="11.5703125" style="4" customWidth="1"/>
    <col min="11" max="11" width="14.7109375" style="4" customWidth="1"/>
    <col min="12" max="12" width="14.5703125" style="4" customWidth="1"/>
    <col min="13" max="13" width="9.42578125" style="4" customWidth="1"/>
    <col min="14" max="14" width="13.85546875" style="4" hidden="1" customWidth="1"/>
    <col min="15" max="15" width="0.5703125" style="4" hidden="1" customWidth="1"/>
    <col min="16" max="16384" width="9.140625" style="4"/>
  </cols>
  <sheetData>
    <row r="1" spans="1:18" s="1" customFormat="1" ht="24.75" customHeight="1" x14ac:dyDescent="0.2">
      <c r="A1" s="116" t="s">
        <v>62</v>
      </c>
      <c r="B1" s="116"/>
      <c r="C1" s="116"/>
      <c r="D1" s="116"/>
      <c r="E1" s="116"/>
      <c r="F1" s="116"/>
      <c r="G1" s="117"/>
      <c r="H1" s="117"/>
      <c r="I1" s="117"/>
      <c r="J1" s="116"/>
      <c r="K1" s="116"/>
    </row>
    <row r="2" spans="1:18" s="2" customFormat="1" ht="18.75" customHeight="1" x14ac:dyDescent="0.3">
      <c r="A2" s="7" t="s">
        <v>0</v>
      </c>
      <c r="B2" s="7" t="s">
        <v>1</v>
      </c>
      <c r="C2" s="118" t="s">
        <v>4</v>
      </c>
      <c r="D2" s="119"/>
      <c r="E2" s="122" t="s">
        <v>53</v>
      </c>
      <c r="F2" s="8" t="s">
        <v>1</v>
      </c>
      <c r="G2" s="7" t="s">
        <v>10</v>
      </c>
      <c r="H2" s="8" t="s">
        <v>16</v>
      </c>
      <c r="I2" s="7" t="s">
        <v>21</v>
      </c>
      <c r="J2" s="7" t="s">
        <v>12</v>
      </c>
      <c r="K2" s="7" t="s">
        <v>14</v>
      </c>
      <c r="L2" s="7" t="s">
        <v>22</v>
      </c>
      <c r="M2" s="7" t="s">
        <v>21</v>
      </c>
      <c r="N2" s="22" t="s">
        <v>23</v>
      </c>
      <c r="O2" s="7" t="s">
        <v>21</v>
      </c>
    </row>
    <row r="3" spans="1:18" s="2" customFormat="1" ht="16.5" customHeight="1" x14ac:dyDescent="0.3">
      <c r="A3" s="9"/>
      <c r="B3" s="9" t="s">
        <v>2</v>
      </c>
      <c r="C3" s="10" t="s">
        <v>5</v>
      </c>
      <c r="D3" s="7" t="s">
        <v>7</v>
      </c>
      <c r="E3" s="123"/>
      <c r="F3" s="11" t="s">
        <v>9</v>
      </c>
      <c r="G3" s="9"/>
      <c r="H3" s="11"/>
      <c r="I3" s="12" t="s">
        <v>34</v>
      </c>
      <c r="J3" s="9" t="s">
        <v>13</v>
      </c>
      <c r="K3" s="9" t="s">
        <v>26</v>
      </c>
      <c r="L3" s="9"/>
      <c r="M3" s="12" t="s">
        <v>27</v>
      </c>
      <c r="N3" s="23" t="s">
        <v>24</v>
      </c>
      <c r="O3" s="18" t="s">
        <v>28</v>
      </c>
    </row>
    <row r="4" spans="1:18" s="3" customFormat="1" ht="13.5" customHeight="1" thickBot="1" x14ac:dyDescent="0.25">
      <c r="A4" s="13"/>
      <c r="B4" s="14" t="s">
        <v>3</v>
      </c>
      <c r="C4" s="15" t="s">
        <v>6</v>
      </c>
      <c r="D4" s="14" t="s">
        <v>8</v>
      </c>
      <c r="E4" s="124"/>
      <c r="F4" s="16" t="s">
        <v>25</v>
      </c>
      <c r="G4" s="14" t="s">
        <v>17</v>
      </c>
      <c r="H4" s="16" t="s">
        <v>11</v>
      </c>
      <c r="I4" s="17" t="s">
        <v>33</v>
      </c>
      <c r="J4" s="14"/>
      <c r="K4" s="14"/>
      <c r="L4" s="14" t="s">
        <v>29</v>
      </c>
      <c r="M4" s="19" t="s">
        <v>30</v>
      </c>
      <c r="N4" s="24" t="s">
        <v>31</v>
      </c>
      <c r="O4" s="19" t="s">
        <v>32</v>
      </c>
    </row>
    <row r="5" spans="1:18" s="41" customFormat="1" ht="18" customHeight="1" thickBot="1" x14ac:dyDescent="0.35">
      <c r="A5" s="26" t="s">
        <v>37</v>
      </c>
      <c r="B5" s="52"/>
      <c r="C5" s="53"/>
      <c r="D5" s="53"/>
      <c r="E5" s="53"/>
      <c r="F5" s="54"/>
      <c r="G5" s="55"/>
      <c r="H5" s="55"/>
      <c r="I5" s="55"/>
      <c r="J5" s="56"/>
      <c r="K5" s="56"/>
      <c r="L5" s="57"/>
      <c r="M5" s="58">
        <f>(L6)*100/(F6)</f>
        <v>83.331452054794525</v>
      </c>
      <c r="N5" s="59"/>
      <c r="O5" s="60" t="e">
        <f>(L6+L8+L9+L15+#REF!)*100/(N6+N8+N9+N15+#REF!)</f>
        <v>#REF!</v>
      </c>
    </row>
    <row r="6" spans="1:18" s="41" customFormat="1" ht="39.75" thickBot="1" x14ac:dyDescent="0.35">
      <c r="A6" s="28" t="s">
        <v>52</v>
      </c>
      <c r="B6" s="29">
        <f>0</f>
        <v>0</v>
      </c>
      <c r="C6" s="30">
        <v>0</v>
      </c>
      <c r="D6" s="31">
        <f>815000</f>
        <v>815000</v>
      </c>
      <c r="E6" s="31">
        <f>1860000+200000+580000</f>
        <v>2640000</v>
      </c>
      <c r="F6" s="32">
        <f>B6+C6-D6+E6</f>
        <v>1825000</v>
      </c>
      <c r="G6" s="33">
        <v>935378</v>
      </c>
      <c r="H6" s="34">
        <v>1520799</v>
      </c>
      <c r="I6" s="35">
        <f>H6*100/F6</f>
        <v>83.331452054794525</v>
      </c>
      <c r="J6" s="33">
        <v>0</v>
      </c>
      <c r="K6" s="36">
        <f>F6-H6-J6</f>
        <v>304201</v>
      </c>
      <c r="L6" s="37">
        <f>J6+H6</f>
        <v>1520799</v>
      </c>
      <c r="M6" s="38">
        <f>L6*100/F6</f>
        <v>83.331452054794525</v>
      </c>
      <c r="N6" s="39">
        <v>8800000</v>
      </c>
      <c r="O6" s="40">
        <f>L6*100/N6</f>
        <v>17.281806818181817</v>
      </c>
    </row>
    <row r="7" spans="1:18" s="41" customFormat="1" ht="18" customHeight="1" thickBot="1" x14ac:dyDescent="0.35">
      <c r="A7" s="27" t="s">
        <v>38</v>
      </c>
      <c r="B7" s="61"/>
      <c r="C7" s="62">
        <v>0</v>
      </c>
      <c r="D7" s="63"/>
      <c r="E7" s="63"/>
      <c r="F7" s="64"/>
      <c r="G7" s="36"/>
      <c r="H7" s="36"/>
      <c r="I7" s="65"/>
      <c r="J7" s="36"/>
      <c r="K7" s="36"/>
      <c r="L7" s="66"/>
      <c r="M7" s="58">
        <f>(L8+L9)*100/(F8+F9)</f>
        <v>74.387840745206518</v>
      </c>
      <c r="N7" s="59"/>
      <c r="O7" s="60" t="e">
        <f>(#REF!+#REF!+#REF!+#REF!)*100/(#REF!+#REF!+#REF!+#REF!)</f>
        <v>#REF!</v>
      </c>
    </row>
    <row r="8" spans="1:18" s="41" customFormat="1" ht="39" x14ac:dyDescent="0.3">
      <c r="A8" s="28" t="s">
        <v>43</v>
      </c>
      <c r="B8" s="29">
        <f>4117500</f>
        <v>4117500</v>
      </c>
      <c r="C8" s="30">
        <v>0</v>
      </c>
      <c r="D8" s="31">
        <f>1500000+190000</f>
        <v>1690000</v>
      </c>
      <c r="E8" s="31">
        <v>-1860000</v>
      </c>
      <c r="F8" s="32">
        <f>B8+C8-D8+E8</f>
        <v>567500</v>
      </c>
      <c r="G8" s="33">
        <v>0</v>
      </c>
      <c r="H8" s="42">
        <v>566669</v>
      </c>
      <c r="I8" s="35">
        <f>H8*100/F8</f>
        <v>99.853568281938323</v>
      </c>
      <c r="J8" s="33">
        <v>0</v>
      </c>
      <c r="K8" s="36">
        <f>F8-H8-J8</f>
        <v>831</v>
      </c>
      <c r="L8" s="37">
        <f>J8+H8</f>
        <v>566669</v>
      </c>
      <c r="M8" s="43">
        <f>L8*100/F8</f>
        <v>99.853568281938323</v>
      </c>
      <c r="N8" s="39">
        <v>2150000</v>
      </c>
      <c r="O8" s="44">
        <f>L8*100/N8</f>
        <v>26.356697674418605</v>
      </c>
      <c r="R8" s="45"/>
    </row>
    <row r="9" spans="1:18" s="41" customFormat="1" ht="39.75" thickBot="1" x14ac:dyDescent="0.35">
      <c r="A9" s="28" t="s">
        <v>54</v>
      </c>
      <c r="B9" s="29">
        <f>2824380</f>
        <v>2824380</v>
      </c>
      <c r="C9" s="30">
        <v>0</v>
      </c>
      <c r="D9" s="30">
        <f>1000000+500000</f>
        <v>1500000</v>
      </c>
      <c r="E9" s="30">
        <v>-200000</v>
      </c>
      <c r="F9" s="32">
        <f>B9+C9-D9+E9</f>
        <v>1124380</v>
      </c>
      <c r="G9" s="33"/>
      <c r="H9" s="42">
        <v>691884</v>
      </c>
      <c r="I9" s="35">
        <f>H9*100/F9</f>
        <v>61.534712463757806</v>
      </c>
      <c r="J9" s="33">
        <v>0</v>
      </c>
      <c r="K9" s="36">
        <f>F9-H9-J9</f>
        <v>432496</v>
      </c>
      <c r="L9" s="37">
        <f>J9+H9</f>
        <v>691884</v>
      </c>
      <c r="M9" s="43">
        <f>L9*100/F9</f>
        <v>61.534712463757806</v>
      </c>
      <c r="N9" s="39">
        <v>1096000</v>
      </c>
      <c r="O9" s="44">
        <f>L9*100/N9</f>
        <v>63.128102189781025</v>
      </c>
      <c r="R9" s="45"/>
    </row>
    <row r="10" spans="1:18" s="41" customFormat="1" ht="18" customHeight="1" thickBot="1" x14ac:dyDescent="0.35">
      <c r="A10" s="27" t="s">
        <v>39</v>
      </c>
      <c r="B10" s="67"/>
      <c r="C10" s="62"/>
      <c r="D10" s="62"/>
      <c r="E10" s="62"/>
      <c r="F10" s="64"/>
      <c r="G10" s="36"/>
      <c r="H10" s="36"/>
      <c r="I10" s="65"/>
      <c r="J10" s="36"/>
      <c r="K10" s="36"/>
      <c r="L10" s="36"/>
      <c r="M10" s="69">
        <f>(L11+L12+L13)*100/(F11+F12+F13)</f>
        <v>32.1875</v>
      </c>
      <c r="N10" s="68"/>
      <c r="O10" s="60" t="e">
        <f>#REF!*100/#REF!</f>
        <v>#REF!</v>
      </c>
    </row>
    <row r="11" spans="1:18" s="41" customFormat="1" ht="18" customHeight="1" x14ac:dyDescent="0.3">
      <c r="A11" s="28" t="s">
        <v>60</v>
      </c>
      <c r="B11" s="101"/>
      <c r="C11" s="102">
        <f>120000</f>
        <v>120000</v>
      </c>
      <c r="D11" s="102"/>
      <c r="E11" s="102"/>
      <c r="F11" s="32">
        <f>B11+C11-D11+E11</f>
        <v>120000</v>
      </c>
      <c r="G11" s="33">
        <v>1400</v>
      </c>
      <c r="H11" s="42">
        <v>17625</v>
      </c>
      <c r="I11" s="35">
        <f t="shared" ref="I11" si="0">H11*100/F11</f>
        <v>14.6875</v>
      </c>
      <c r="J11" s="33">
        <v>21000</v>
      </c>
      <c r="K11" s="36">
        <f t="shared" ref="K11" si="1">F11-H11-J11</f>
        <v>81375</v>
      </c>
      <c r="L11" s="37">
        <f t="shared" ref="L11" si="2">J11+H11</f>
        <v>38625</v>
      </c>
      <c r="M11" s="37">
        <f>L11*100/F11</f>
        <v>32.1875</v>
      </c>
      <c r="N11" s="68"/>
      <c r="O11" s="100"/>
    </row>
    <row r="12" spans="1:18" s="41" customFormat="1" ht="39" x14ac:dyDescent="0.3">
      <c r="A12" s="28" t="s">
        <v>58</v>
      </c>
      <c r="B12" s="29">
        <f>0</f>
        <v>0</v>
      </c>
      <c r="C12" s="30">
        <v>0</v>
      </c>
      <c r="D12" s="30">
        <v>0</v>
      </c>
      <c r="E12" s="30">
        <v>0</v>
      </c>
      <c r="F12" s="32">
        <v>0</v>
      </c>
      <c r="G12" s="33">
        <v>0</v>
      </c>
      <c r="H12" s="42">
        <v>0</v>
      </c>
      <c r="I12" s="35">
        <v>0</v>
      </c>
      <c r="J12" s="33">
        <v>0</v>
      </c>
      <c r="K12" s="36">
        <f>F12-H12-J12</f>
        <v>0</v>
      </c>
      <c r="L12" s="37">
        <f>J12+H12</f>
        <v>0</v>
      </c>
      <c r="M12" s="37">
        <v>0</v>
      </c>
      <c r="N12" s="39">
        <f>F12</f>
        <v>0</v>
      </c>
      <c r="O12" s="40" t="e">
        <f>L12*100/N12</f>
        <v>#DIV/0!</v>
      </c>
    </row>
    <row r="13" spans="1:18" s="41" customFormat="1" ht="18" customHeight="1" thickBot="1" x14ac:dyDescent="0.35">
      <c r="A13" s="28" t="s">
        <v>59</v>
      </c>
      <c r="B13" s="29">
        <f>0</f>
        <v>0</v>
      </c>
      <c r="C13" s="30">
        <v>0</v>
      </c>
      <c r="D13" s="30">
        <v>0</v>
      </c>
      <c r="E13" s="30">
        <v>0</v>
      </c>
      <c r="F13" s="32">
        <f t="shared" ref="F13:F21" si="3">B13+C13-D13</f>
        <v>0</v>
      </c>
      <c r="G13" s="33">
        <v>0</v>
      </c>
      <c r="H13" s="42">
        <v>0</v>
      </c>
      <c r="I13" s="35">
        <v>0</v>
      </c>
      <c r="J13" s="33">
        <v>0</v>
      </c>
      <c r="K13" s="36">
        <f>F13-H13-J13</f>
        <v>0</v>
      </c>
      <c r="L13" s="49">
        <f>J13+H13</f>
        <v>0</v>
      </c>
      <c r="M13" s="38">
        <v>0</v>
      </c>
      <c r="N13" s="51"/>
      <c r="O13" s="50"/>
    </row>
    <row r="14" spans="1:18" s="41" customFormat="1" ht="18" customHeight="1" thickBot="1" x14ac:dyDescent="0.35">
      <c r="A14" s="26" t="s">
        <v>41</v>
      </c>
      <c r="B14" s="61"/>
      <c r="C14" s="62"/>
      <c r="D14" s="62"/>
      <c r="E14" s="62"/>
      <c r="F14" s="64"/>
      <c r="G14" s="55"/>
      <c r="H14" s="55"/>
      <c r="I14" s="55"/>
      <c r="J14" s="36"/>
      <c r="K14" s="36"/>
      <c r="L14" s="66"/>
      <c r="M14" s="58">
        <f>(L15)*100/(F15)</f>
        <v>88.841584158415841</v>
      </c>
      <c r="N14" s="59"/>
      <c r="O14" s="60" t="e">
        <f>(L16+L21+#REF!+L17+#REF!)*100/(N16+N21+#REF!+N17+#REF!)</f>
        <v>#REF!</v>
      </c>
    </row>
    <row r="15" spans="1:18" s="41" customFormat="1" ht="18" customHeight="1" thickBot="1" x14ac:dyDescent="0.35">
      <c r="A15" s="28" t="s">
        <v>42</v>
      </c>
      <c r="B15" s="29">
        <f>3866940</f>
        <v>3866940</v>
      </c>
      <c r="C15" s="30">
        <v>0</v>
      </c>
      <c r="D15" s="31">
        <f>2024440</f>
        <v>2024440</v>
      </c>
      <c r="E15" s="31">
        <v>-580000</v>
      </c>
      <c r="F15" s="32">
        <f>B15+C15-D15+E15</f>
        <v>1262500</v>
      </c>
      <c r="G15" s="33">
        <v>566116</v>
      </c>
      <c r="H15" s="42">
        <v>1114405</v>
      </c>
      <c r="I15" s="35">
        <f t="shared" ref="I15" si="4">H15*100/F15</f>
        <v>88.269702970297033</v>
      </c>
      <c r="J15" s="33">
        <v>7220</v>
      </c>
      <c r="K15" s="36">
        <f>F15-H15-J15</f>
        <v>140875</v>
      </c>
      <c r="L15" s="37">
        <f>J15+H15</f>
        <v>1121625</v>
      </c>
      <c r="M15" s="46">
        <f t="shared" ref="M15" si="5">L15*100/F15</f>
        <v>88.841584158415841</v>
      </c>
      <c r="N15" s="39">
        <v>2540000</v>
      </c>
      <c r="O15" s="47">
        <f>L15*100/N15</f>
        <v>44.158464566929133</v>
      </c>
      <c r="R15" s="48"/>
    </row>
    <row r="16" spans="1:18" s="41" customFormat="1" ht="18" customHeight="1" thickBot="1" x14ac:dyDescent="0.35">
      <c r="A16" s="27" t="s">
        <v>40</v>
      </c>
      <c r="B16" s="61"/>
      <c r="C16" s="62"/>
      <c r="D16" s="62"/>
      <c r="E16" s="62"/>
      <c r="F16" s="64"/>
      <c r="G16" s="36"/>
      <c r="H16" s="36"/>
      <c r="I16" s="65"/>
      <c r="J16" s="36"/>
      <c r="K16" s="36"/>
      <c r="L16" s="36"/>
      <c r="M16" s="69">
        <f>(L17+L19+L20+L21)*100 /(F17+F19+F20+F21)</f>
        <v>35.583614168870305</v>
      </c>
      <c r="N16" s="68"/>
      <c r="O16" s="60">
        <f>(L17+L19+L20+L21)*100/(N17+N19+N20+N21)</f>
        <v>15.665190730162168</v>
      </c>
    </row>
    <row r="17" spans="1:15" s="41" customFormat="1" ht="18" customHeight="1" x14ac:dyDescent="0.3">
      <c r="A17" s="25" t="s">
        <v>18</v>
      </c>
      <c r="B17" s="29">
        <f>1315400</f>
        <v>1315400</v>
      </c>
      <c r="C17" s="30">
        <v>0</v>
      </c>
      <c r="D17" s="30">
        <v>0</v>
      </c>
      <c r="E17" s="30">
        <v>0</v>
      </c>
      <c r="F17" s="51">
        <f>B17+C17-D17</f>
        <v>1315400</v>
      </c>
      <c r="G17" s="33">
        <v>21500.5</v>
      </c>
      <c r="H17" s="42">
        <v>329598.15000000002</v>
      </c>
      <c r="I17" s="35">
        <f t="shared" ref="I17:I21" si="6">H17*100/F17</f>
        <v>25.056876235365671</v>
      </c>
      <c r="J17" s="33">
        <v>8500</v>
      </c>
      <c r="K17" s="36">
        <f>F17-H17-J17</f>
        <v>977301.85</v>
      </c>
      <c r="L17" s="37">
        <f t="shared" ref="L17:L22" si="7">J17+H17</f>
        <v>338098.15</v>
      </c>
      <c r="M17" s="38">
        <f t="shared" ref="M17:M21" si="8">L17*100/F17</f>
        <v>25.703067507982365</v>
      </c>
      <c r="N17" s="39">
        <v>2898700</v>
      </c>
      <c r="O17" s="40">
        <f t="shared" ref="O17:O22" si="9">L17*100/N17</f>
        <v>11.663785490047262</v>
      </c>
    </row>
    <row r="18" spans="1:15" s="41" customFormat="1" ht="18" customHeight="1" x14ac:dyDescent="0.3">
      <c r="A18" s="25" t="s">
        <v>51</v>
      </c>
      <c r="B18" s="29">
        <f>500000</f>
        <v>500000</v>
      </c>
      <c r="C18" s="30">
        <v>0</v>
      </c>
      <c r="D18" s="30">
        <v>0</v>
      </c>
      <c r="E18" s="30">
        <v>0</v>
      </c>
      <c r="F18" s="51">
        <f>B18+C18-D18</f>
        <v>500000</v>
      </c>
      <c r="G18" s="33"/>
      <c r="H18" s="42">
        <v>470406</v>
      </c>
      <c r="I18" s="35">
        <f t="shared" si="6"/>
        <v>94.081199999999995</v>
      </c>
      <c r="J18" s="33">
        <v>0</v>
      </c>
      <c r="K18" s="36">
        <f>F18-H18-J18</f>
        <v>29594</v>
      </c>
      <c r="L18" s="37">
        <f t="shared" si="7"/>
        <v>470406</v>
      </c>
      <c r="M18" s="38">
        <f t="shared" si="8"/>
        <v>94.081199999999995</v>
      </c>
      <c r="N18" s="39"/>
      <c r="O18" s="40"/>
    </row>
    <row r="19" spans="1:15" s="41" customFormat="1" ht="18" customHeight="1" x14ac:dyDescent="0.3">
      <c r="A19" s="25" t="s">
        <v>47</v>
      </c>
      <c r="B19" s="29">
        <f>97000</f>
        <v>97000</v>
      </c>
      <c r="C19" s="30">
        <f>24000</f>
        <v>24000</v>
      </c>
      <c r="D19" s="30">
        <f>24000</f>
        <v>24000</v>
      </c>
      <c r="E19" s="30">
        <v>0</v>
      </c>
      <c r="F19" s="32">
        <f>B19+C19-D19</f>
        <v>97000</v>
      </c>
      <c r="G19" s="33">
        <v>21000</v>
      </c>
      <c r="H19" s="42">
        <v>74000</v>
      </c>
      <c r="I19" s="35">
        <f t="shared" si="6"/>
        <v>76.288659793814432</v>
      </c>
      <c r="J19" s="33">
        <v>0</v>
      </c>
      <c r="K19" s="36">
        <f>F19-H19-J19</f>
        <v>23000</v>
      </c>
      <c r="L19" s="37">
        <f t="shared" si="7"/>
        <v>74000</v>
      </c>
      <c r="M19" s="43">
        <f t="shared" si="8"/>
        <v>76.288659793814432</v>
      </c>
      <c r="N19" s="39">
        <v>180000</v>
      </c>
      <c r="O19" s="44">
        <f t="shared" si="9"/>
        <v>41.111111111111114</v>
      </c>
    </row>
    <row r="20" spans="1:15" s="41" customFormat="1" ht="18" customHeight="1" x14ac:dyDescent="0.3">
      <c r="A20" s="25" t="s">
        <v>48</v>
      </c>
      <c r="B20" s="29">
        <f>143600</f>
        <v>143600</v>
      </c>
      <c r="C20" s="30">
        <v>0</v>
      </c>
      <c r="D20" s="30">
        <f>18000</f>
        <v>18000</v>
      </c>
      <c r="E20" s="30">
        <v>0</v>
      </c>
      <c r="F20" s="32">
        <f t="shared" si="3"/>
        <v>125600</v>
      </c>
      <c r="G20" s="33">
        <v>20000</v>
      </c>
      <c r="H20" s="42">
        <v>100000</v>
      </c>
      <c r="I20" s="35">
        <f t="shared" si="6"/>
        <v>79.617834394904463</v>
      </c>
      <c r="J20" s="33">
        <v>0</v>
      </c>
      <c r="K20" s="36">
        <f t="shared" ref="K20:K22" si="10">F20-H20-J20</f>
        <v>25600</v>
      </c>
      <c r="L20" s="49">
        <f>J20+H20</f>
        <v>100000</v>
      </c>
      <c r="M20" s="43">
        <f t="shared" si="8"/>
        <v>79.617834394904463</v>
      </c>
      <c r="N20" s="39">
        <v>264000</v>
      </c>
      <c r="O20" s="44">
        <f t="shared" si="9"/>
        <v>37.878787878787875</v>
      </c>
    </row>
    <row r="21" spans="1:15" s="41" customFormat="1" ht="18" customHeight="1" x14ac:dyDescent="0.3">
      <c r="A21" s="25" t="s">
        <v>49</v>
      </c>
      <c r="B21" s="29">
        <v>88100</v>
      </c>
      <c r="C21" s="30">
        <v>0</v>
      </c>
      <c r="D21" s="30">
        <v>0</v>
      </c>
      <c r="E21" s="30">
        <v>0</v>
      </c>
      <c r="F21" s="32">
        <f t="shared" si="3"/>
        <v>88100</v>
      </c>
      <c r="G21" s="33">
        <v>16461</v>
      </c>
      <c r="H21" s="42">
        <v>66527</v>
      </c>
      <c r="I21" s="35">
        <f t="shared" si="6"/>
        <v>75.51305334846765</v>
      </c>
      <c r="J21" s="33">
        <v>0</v>
      </c>
      <c r="K21" s="36">
        <f t="shared" si="10"/>
        <v>21573</v>
      </c>
      <c r="L21" s="49">
        <f>J21+H21</f>
        <v>66527</v>
      </c>
      <c r="M21" s="38">
        <f t="shared" si="8"/>
        <v>75.51305334846765</v>
      </c>
      <c r="N21" s="39">
        <v>351000</v>
      </c>
      <c r="O21" s="40">
        <f t="shared" si="9"/>
        <v>18.953561253561254</v>
      </c>
    </row>
    <row r="22" spans="1:15" s="41" customFormat="1" ht="18" customHeight="1" x14ac:dyDescent="0.3">
      <c r="A22" s="25" t="s">
        <v>50</v>
      </c>
      <c r="B22" s="29">
        <v>671000</v>
      </c>
      <c r="C22" s="30">
        <v>0</v>
      </c>
      <c r="D22" s="30">
        <v>0</v>
      </c>
      <c r="E22" s="30">
        <v>0</v>
      </c>
      <c r="F22" s="32">
        <v>0</v>
      </c>
      <c r="G22" s="33">
        <v>0</v>
      </c>
      <c r="H22" s="42">
        <v>0</v>
      </c>
      <c r="I22" s="35">
        <v>0</v>
      </c>
      <c r="J22" s="33">
        <v>0</v>
      </c>
      <c r="K22" s="36">
        <f t="shared" si="10"/>
        <v>0</v>
      </c>
      <c r="L22" s="49">
        <f t="shared" si="7"/>
        <v>0</v>
      </c>
      <c r="M22" s="38">
        <v>0</v>
      </c>
      <c r="N22" s="39">
        <v>49000</v>
      </c>
      <c r="O22" s="44">
        <f t="shared" si="9"/>
        <v>0</v>
      </c>
    </row>
    <row r="23" spans="1:15" s="80" customFormat="1" ht="18" customHeight="1" x14ac:dyDescent="0.3">
      <c r="A23" s="70" t="s">
        <v>15</v>
      </c>
      <c r="B23" s="71">
        <f>SUM(B5:B22)</f>
        <v>13623920</v>
      </c>
      <c r="C23" s="71">
        <f>SUM(C5:C22)</f>
        <v>144000</v>
      </c>
      <c r="D23" s="71">
        <f>SUM(D5:D22)</f>
        <v>6071440</v>
      </c>
      <c r="E23" s="71">
        <f>SUM(E6:E22)</f>
        <v>0</v>
      </c>
      <c r="F23" s="72">
        <f>SUM(F5:F22)</f>
        <v>7025480</v>
      </c>
      <c r="G23" s="73">
        <f>SUM(G5:G22)</f>
        <v>1581855.5</v>
      </c>
      <c r="H23" s="74">
        <f>SUM(H6:H22)</f>
        <v>4951913.1500000004</v>
      </c>
      <c r="I23" s="75">
        <f>H23*100/F23</f>
        <v>70.485050843501099</v>
      </c>
      <c r="J23" s="73">
        <f>SUM(J5:J22)</f>
        <v>36720</v>
      </c>
      <c r="K23" s="76">
        <f>SUM(K5:K22)</f>
        <v>2036846.85</v>
      </c>
      <c r="L23" s="77">
        <f>SUM(L5:L22)</f>
        <v>4988633.1500000004</v>
      </c>
      <c r="M23" s="78">
        <f>L23*100/F23</f>
        <v>71.007719757226567</v>
      </c>
      <c r="N23" s="79">
        <f>SUM(N5:N22)</f>
        <v>18328700</v>
      </c>
      <c r="O23" s="75">
        <f>L23*100/N23</f>
        <v>27.217604903784778</v>
      </c>
    </row>
    <row r="24" spans="1:15" s="80" customFormat="1" ht="18" customHeight="1" x14ac:dyDescent="0.3">
      <c r="A24" s="81" t="s">
        <v>19</v>
      </c>
      <c r="B24" s="82">
        <f>B23-B22</f>
        <v>12952920</v>
      </c>
      <c r="C24" s="82">
        <f>C23-C22</f>
        <v>144000</v>
      </c>
      <c r="D24" s="82">
        <f>D23-D22</f>
        <v>6071440</v>
      </c>
      <c r="E24" s="98" t="s">
        <v>55</v>
      </c>
      <c r="F24" s="96">
        <f>F23-F22</f>
        <v>7025480</v>
      </c>
      <c r="G24" s="82">
        <f t="shared" ref="G24" si="11">G23-G22</f>
        <v>1581855.5</v>
      </c>
      <c r="H24" s="82">
        <f>H23-H22</f>
        <v>4951913.1500000004</v>
      </c>
      <c r="I24" s="82">
        <f>H24*100/F24</f>
        <v>70.485050843501099</v>
      </c>
      <c r="J24" s="82">
        <f>J23-J22</f>
        <v>36720</v>
      </c>
      <c r="K24" s="82">
        <f>K23-K22</f>
        <v>2036846.85</v>
      </c>
      <c r="L24" s="82">
        <f>L23-L22</f>
        <v>4988633.1500000004</v>
      </c>
      <c r="M24" s="104">
        <f>L24*100/F24</f>
        <v>71.007719757226567</v>
      </c>
      <c r="N24" s="83" t="e">
        <f>N23-N22-#REF!-#REF!</f>
        <v>#REF!</v>
      </c>
      <c r="O24" s="84" t="e">
        <f>L24*100/N24</f>
        <v>#REF!</v>
      </c>
    </row>
    <row r="25" spans="1:15" s="41" customFormat="1" ht="18" customHeight="1" x14ac:dyDescent="0.3">
      <c r="A25" s="6" t="s">
        <v>20</v>
      </c>
      <c r="B25" s="85"/>
      <c r="C25" s="85"/>
      <c r="D25" s="85"/>
      <c r="E25" s="85"/>
      <c r="F25" s="86"/>
      <c r="G25" s="86"/>
      <c r="H25" s="87">
        <f>H24+J24</f>
        <v>4988633.1500000004</v>
      </c>
      <c r="I25" s="88">
        <f>H25*100/F24</f>
        <v>71.007719757226567</v>
      </c>
      <c r="J25" s="86"/>
      <c r="K25" s="89"/>
      <c r="L25" s="86"/>
      <c r="M25" s="90"/>
      <c r="N25" s="86"/>
      <c r="O25" s="86"/>
    </row>
    <row r="26" spans="1:15" s="41" customFormat="1" ht="18" customHeight="1" x14ac:dyDescent="0.3">
      <c r="A26" s="91" t="s">
        <v>46</v>
      </c>
      <c r="B26" s="106"/>
      <c r="C26" s="120" t="s">
        <v>35</v>
      </c>
      <c r="D26" s="121"/>
      <c r="E26" s="121"/>
      <c r="F26" s="121"/>
      <c r="G26" s="106">
        <v>45</v>
      </c>
      <c r="H26" s="120" t="s">
        <v>36</v>
      </c>
      <c r="I26" s="121"/>
      <c r="J26" s="121"/>
      <c r="K26" s="20">
        <v>95</v>
      </c>
      <c r="L26" s="21"/>
      <c r="M26" s="21"/>
      <c r="N26" s="106">
        <v>97</v>
      </c>
      <c r="O26" s="20"/>
    </row>
    <row r="27" spans="1:15" ht="15.75" customHeight="1" x14ac:dyDescent="0.3">
      <c r="B27" s="5"/>
      <c r="C27" s="103"/>
      <c r="D27" s="103"/>
      <c r="E27" s="103"/>
      <c r="F27" s="92">
        <f>F23-[1]กพ.63!$E$29</f>
        <v>0</v>
      </c>
      <c r="G27" s="93">
        <f>G23-[1]กพ.63!$F$29</f>
        <v>0</v>
      </c>
      <c r="H27" s="93">
        <f>H23-[1]กพ.63!$G$29</f>
        <v>0</v>
      </c>
      <c r="I27" s="94"/>
      <c r="J27" s="93">
        <f>J23-[1]กพ.63!$H$29</f>
        <v>0</v>
      </c>
      <c r="K27" s="93">
        <f>K23-[1]กพ.63!$I$29</f>
        <v>0</v>
      </c>
    </row>
    <row r="30" spans="1:15" x14ac:dyDescent="0.3">
      <c r="L30" s="5"/>
      <c r="M30" s="5"/>
      <c r="N30" s="5"/>
      <c r="O30" s="5"/>
    </row>
  </sheetData>
  <mergeCells count="5">
    <mergeCell ref="A1:K1"/>
    <mergeCell ref="C2:D2"/>
    <mergeCell ref="E2:E4"/>
    <mergeCell ref="C26:F26"/>
    <mergeCell ref="H26:J26"/>
  </mergeCells>
  <pageMargins left="0.19685039370078741" right="0.15748031496062992" top="0.26" bottom="0.15748031496062992" header="0.19685039370078741" footer="0.15748031496062992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10" sqref="F10"/>
    </sheetView>
  </sheetViews>
  <sheetFormatPr defaultRowHeight="18.75" x14ac:dyDescent="0.3"/>
  <cols>
    <col min="1" max="1" width="51" style="4" customWidth="1"/>
    <col min="2" max="2" width="12" style="4" customWidth="1"/>
    <col min="3" max="3" width="10" style="4" customWidth="1"/>
    <col min="4" max="4" width="10.7109375" style="4" customWidth="1"/>
    <col min="5" max="5" width="12.28515625" style="4" customWidth="1"/>
    <col min="6" max="6" width="13" style="4" customWidth="1"/>
    <col min="7" max="7" width="14.85546875" style="4" customWidth="1"/>
    <col min="8" max="8" width="8.42578125" style="4" customWidth="1"/>
    <col min="9" max="9" width="11.5703125" style="4" customWidth="1"/>
    <col min="10" max="10" width="14.7109375" style="4" customWidth="1"/>
    <col min="11" max="11" width="14.5703125" style="4" customWidth="1"/>
    <col min="12" max="12" width="9.42578125" style="4" customWidth="1"/>
    <col min="13" max="13" width="13.85546875" style="4" hidden="1" customWidth="1"/>
    <col min="14" max="14" width="0.5703125" style="4" hidden="1" customWidth="1"/>
    <col min="15" max="16384" width="9.140625" style="4"/>
  </cols>
  <sheetData>
    <row r="1" spans="1:17" s="1" customFormat="1" ht="26.25" x14ac:dyDescent="0.2">
      <c r="A1" s="116" t="s">
        <v>63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7" s="2" customFormat="1" x14ac:dyDescent="0.3">
      <c r="A2" s="7" t="s">
        <v>0</v>
      </c>
      <c r="B2" s="7" t="s">
        <v>1</v>
      </c>
      <c r="C2" s="118" t="s">
        <v>4</v>
      </c>
      <c r="D2" s="119"/>
      <c r="E2" s="8" t="s">
        <v>1</v>
      </c>
      <c r="F2" s="7" t="s">
        <v>10</v>
      </c>
      <c r="G2" s="8" t="s">
        <v>16</v>
      </c>
      <c r="H2" s="7" t="s">
        <v>21</v>
      </c>
      <c r="I2" s="7" t="s">
        <v>12</v>
      </c>
      <c r="J2" s="7" t="s">
        <v>14</v>
      </c>
      <c r="K2" s="7" t="s">
        <v>22</v>
      </c>
      <c r="L2" s="7" t="s">
        <v>21</v>
      </c>
      <c r="M2" s="22" t="s">
        <v>23</v>
      </c>
      <c r="N2" s="7" t="s">
        <v>21</v>
      </c>
    </row>
    <row r="3" spans="1:17" s="2" customFormat="1" x14ac:dyDescent="0.3">
      <c r="A3" s="9"/>
      <c r="B3" s="9" t="s">
        <v>2</v>
      </c>
      <c r="C3" s="10" t="s">
        <v>5</v>
      </c>
      <c r="D3" s="7" t="s">
        <v>7</v>
      </c>
      <c r="E3" s="11" t="s">
        <v>9</v>
      </c>
      <c r="F3" s="9"/>
      <c r="G3" s="11"/>
      <c r="H3" s="12" t="s">
        <v>34</v>
      </c>
      <c r="I3" s="9" t="s">
        <v>13</v>
      </c>
      <c r="J3" s="9" t="s">
        <v>26</v>
      </c>
      <c r="K3" s="9"/>
      <c r="L3" s="12" t="s">
        <v>27</v>
      </c>
      <c r="M3" s="23" t="s">
        <v>24</v>
      </c>
      <c r="N3" s="18" t="s">
        <v>28</v>
      </c>
    </row>
    <row r="4" spans="1:17" s="3" customFormat="1" ht="19.5" thickBot="1" x14ac:dyDescent="0.25">
      <c r="A4" s="13"/>
      <c r="B4" s="14" t="s">
        <v>3</v>
      </c>
      <c r="C4" s="15" t="s">
        <v>6</v>
      </c>
      <c r="D4" s="14" t="s">
        <v>8</v>
      </c>
      <c r="E4" s="16" t="s">
        <v>25</v>
      </c>
      <c r="F4" s="14" t="s">
        <v>17</v>
      </c>
      <c r="G4" s="16" t="s">
        <v>11</v>
      </c>
      <c r="H4" s="17" t="s">
        <v>33</v>
      </c>
      <c r="I4" s="14"/>
      <c r="J4" s="14"/>
      <c r="K4" s="14" t="s">
        <v>29</v>
      </c>
      <c r="L4" s="19" t="s">
        <v>30</v>
      </c>
      <c r="M4" s="24" t="s">
        <v>31</v>
      </c>
      <c r="N4" s="19" t="s">
        <v>32</v>
      </c>
    </row>
    <row r="5" spans="1:17" s="41" customFormat="1" ht="20.25" thickBot="1" x14ac:dyDescent="0.35">
      <c r="A5" s="26" t="s">
        <v>37</v>
      </c>
      <c r="B5" s="52"/>
      <c r="C5" s="53"/>
      <c r="D5" s="53"/>
      <c r="E5" s="54"/>
      <c r="F5" s="55"/>
      <c r="G5" s="55"/>
      <c r="H5" s="55"/>
      <c r="I5" s="56"/>
      <c r="J5" s="56"/>
      <c r="K5" s="57"/>
      <c r="L5" s="58">
        <f>(K6)*100/(E6)</f>
        <v>19.94744259023032</v>
      </c>
      <c r="M5" s="59"/>
      <c r="N5" s="60" t="e">
        <f>(K6+K8+K9+K15+#REF!)*100/(M6+M8+M9+M15+#REF!)</f>
        <v>#REF!</v>
      </c>
    </row>
    <row r="6" spans="1:17" s="41" customFormat="1" ht="39.75" thickBot="1" x14ac:dyDescent="0.35">
      <c r="A6" s="28" t="s">
        <v>52</v>
      </c>
      <c r="B6" s="29">
        <f>0+8450460</f>
        <v>8450460</v>
      </c>
      <c r="C6" s="30">
        <v>0</v>
      </c>
      <c r="D6" s="31">
        <f>815000</f>
        <v>815000</v>
      </c>
      <c r="E6" s="32">
        <f>B6+C6-D6</f>
        <v>7635460</v>
      </c>
      <c r="F6" s="33">
        <v>2280</v>
      </c>
      <c r="G6" s="34">
        <v>1523079</v>
      </c>
      <c r="H6" s="35">
        <f>G6*100/E6</f>
        <v>19.94744259023032</v>
      </c>
      <c r="I6" s="33">
        <v>0</v>
      </c>
      <c r="J6" s="36">
        <f>E6-G6-I6</f>
        <v>6112381</v>
      </c>
      <c r="K6" s="37">
        <f>I6+G6</f>
        <v>1523079</v>
      </c>
      <c r="L6" s="38">
        <f>K6*100/E6</f>
        <v>19.94744259023032</v>
      </c>
      <c r="M6" s="39">
        <v>8800000</v>
      </c>
      <c r="N6" s="40">
        <f>K6*100/M6</f>
        <v>17.307715909090909</v>
      </c>
    </row>
    <row r="7" spans="1:17" s="41" customFormat="1" ht="20.25" thickBot="1" x14ac:dyDescent="0.35">
      <c r="A7" s="27" t="s">
        <v>38</v>
      </c>
      <c r="B7" s="61"/>
      <c r="C7" s="62">
        <v>0</v>
      </c>
      <c r="D7" s="63"/>
      <c r="E7" s="64"/>
      <c r="F7" s="36"/>
      <c r="G7" s="36"/>
      <c r="H7" s="65"/>
      <c r="I7" s="36"/>
      <c r="J7" s="36"/>
      <c r="K7" s="66"/>
      <c r="L7" s="58">
        <f>(K8+K9)*100/(E8+E9)</f>
        <v>14.722733694909074</v>
      </c>
      <c r="M7" s="59"/>
      <c r="N7" s="60" t="e">
        <f>(#REF!+#REF!+#REF!+#REF!)*100/(#REF!+#REF!+#REF!+#REF!)</f>
        <v>#REF!</v>
      </c>
    </row>
    <row r="8" spans="1:17" s="41" customFormat="1" ht="39" x14ac:dyDescent="0.3">
      <c r="A8" s="28" t="s">
        <v>43</v>
      </c>
      <c r="B8" s="29">
        <f>4117500+2317500</f>
        <v>6435000</v>
      </c>
      <c r="C8" s="30">
        <v>0</v>
      </c>
      <c r="D8" s="31">
        <f>1500000+190000</f>
        <v>1690000</v>
      </c>
      <c r="E8" s="32">
        <f>B8+C8-D8</f>
        <v>4745000</v>
      </c>
      <c r="F8" s="33">
        <v>0</v>
      </c>
      <c r="G8" s="42">
        <v>566669</v>
      </c>
      <c r="H8" s="35">
        <f>G8*100/E8</f>
        <v>11.942444678609062</v>
      </c>
      <c r="I8" s="33">
        <v>0</v>
      </c>
      <c r="J8" s="36">
        <f>E8-G8-I8</f>
        <v>4178331</v>
      </c>
      <c r="K8" s="37">
        <f>I8+G8</f>
        <v>566669</v>
      </c>
      <c r="L8" s="43">
        <f>K8*100/E8</f>
        <v>11.942444678609062</v>
      </c>
      <c r="M8" s="39">
        <v>2150000</v>
      </c>
      <c r="N8" s="44">
        <f>K8*100/M8</f>
        <v>26.356697674418605</v>
      </c>
      <c r="Q8" s="45"/>
    </row>
    <row r="9" spans="1:17" s="41" customFormat="1" ht="39.75" thickBot="1" x14ac:dyDescent="0.35">
      <c r="A9" s="28" t="s">
        <v>54</v>
      </c>
      <c r="B9" s="29">
        <f>2824380+2707020</f>
        <v>5531400</v>
      </c>
      <c r="C9" s="30">
        <v>0</v>
      </c>
      <c r="D9" s="30">
        <f>1000000+500000</f>
        <v>1500000</v>
      </c>
      <c r="E9" s="32">
        <f>B9+C9-D9</f>
        <v>4031400</v>
      </c>
      <c r="F9" s="33">
        <v>33573</v>
      </c>
      <c r="G9" s="42">
        <v>725457</v>
      </c>
      <c r="H9" s="35">
        <f>G9*100/E9</f>
        <v>17.995162970680159</v>
      </c>
      <c r="I9" s="33">
        <v>0</v>
      </c>
      <c r="J9" s="36">
        <f>E9-G9-I9</f>
        <v>3305943</v>
      </c>
      <c r="K9" s="37">
        <f>I9+G9</f>
        <v>725457</v>
      </c>
      <c r="L9" s="43">
        <f>K9*100/E9</f>
        <v>17.995162970680159</v>
      </c>
      <c r="M9" s="39">
        <v>1096000</v>
      </c>
      <c r="N9" s="44">
        <f>K9*100/M9</f>
        <v>66.191332116788317</v>
      </c>
      <c r="Q9" s="45"/>
    </row>
    <row r="10" spans="1:17" s="41" customFormat="1" ht="20.25" thickBot="1" x14ac:dyDescent="0.35">
      <c r="A10" s="27" t="s">
        <v>39</v>
      </c>
      <c r="B10" s="67"/>
      <c r="C10" s="62"/>
      <c r="D10" s="62"/>
      <c r="E10" s="64"/>
      <c r="F10" s="36"/>
      <c r="G10" s="36"/>
      <c r="H10" s="65"/>
      <c r="I10" s="36"/>
      <c r="J10" s="36"/>
      <c r="K10" s="36"/>
      <c r="L10" s="69">
        <f>(K11+K12+K13)*100/(E11+E12+E13)</f>
        <v>4.8076410010138195</v>
      </c>
      <c r="M10" s="68"/>
      <c r="N10" s="60" t="e">
        <f>#REF!*100/#REF!</f>
        <v>#REF!</v>
      </c>
    </row>
    <row r="11" spans="1:17" s="41" customFormat="1" ht="39" x14ac:dyDescent="0.3">
      <c r="A11" s="28" t="s">
        <v>60</v>
      </c>
      <c r="B11" s="101"/>
      <c r="C11" s="102">
        <f>120000</f>
        <v>120000</v>
      </c>
      <c r="D11" s="102"/>
      <c r="E11" s="32">
        <f>B11+C11-D11</f>
        <v>120000</v>
      </c>
      <c r="F11" s="33">
        <v>18415</v>
      </c>
      <c r="G11" s="42">
        <v>36040</v>
      </c>
      <c r="H11" s="35">
        <f t="shared" ref="H11:H12" si="0">G11*100/E11</f>
        <v>30.033333333333335</v>
      </c>
      <c r="I11" s="33">
        <v>0</v>
      </c>
      <c r="J11" s="36">
        <f t="shared" ref="J11" si="1">E11-G11-I11</f>
        <v>83960</v>
      </c>
      <c r="K11" s="37">
        <f t="shared" ref="K11" si="2">I11+G11</f>
        <v>36040</v>
      </c>
      <c r="L11" s="37">
        <f>K11*100/E11</f>
        <v>30.033333333333335</v>
      </c>
      <c r="M11" s="68"/>
      <c r="N11" s="100"/>
    </row>
    <row r="12" spans="1:17" s="41" customFormat="1" ht="39" x14ac:dyDescent="0.3">
      <c r="A12" s="28" t="s">
        <v>58</v>
      </c>
      <c r="B12" s="29">
        <f>0+577800</f>
        <v>577800</v>
      </c>
      <c r="C12" s="30">
        <v>0</v>
      </c>
      <c r="D12" s="30">
        <v>0</v>
      </c>
      <c r="E12" s="32">
        <f>B12+C12-D12</f>
        <v>577800</v>
      </c>
      <c r="F12" s="33">
        <v>0</v>
      </c>
      <c r="G12" s="42">
        <v>0</v>
      </c>
      <c r="H12" s="35">
        <f t="shared" si="0"/>
        <v>0</v>
      </c>
      <c r="I12" s="33">
        <v>0</v>
      </c>
      <c r="J12" s="36">
        <f>E12-G12-I12</f>
        <v>577800</v>
      </c>
      <c r="K12" s="37">
        <f>I12+G12</f>
        <v>0</v>
      </c>
      <c r="L12" s="37">
        <v>0</v>
      </c>
      <c r="M12" s="39">
        <f>E12</f>
        <v>577800</v>
      </c>
      <c r="N12" s="40">
        <f>K12*100/M12</f>
        <v>0</v>
      </c>
    </row>
    <row r="13" spans="1:17" s="41" customFormat="1" ht="20.25" thickBot="1" x14ac:dyDescent="0.35">
      <c r="A13" s="28" t="s">
        <v>59</v>
      </c>
      <c r="B13" s="29">
        <f>0+2880000</f>
        <v>2880000</v>
      </c>
      <c r="C13" s="30">
        <v>0</v>
      </c>
      <c r="D13" s="30">
        <f>2828160</f>
        <v>2828160</v>
      </c>
      <c r="E13" s="32">
        <f>B13+C13-D13</f>
        <v>51840</v>
      </c>
      <c r="F13" s="33">
        <v>0</v>
      </c>
      <c r="G13" s="42">
        <v>0</v>
      </c>
      <c r="H13" s="35">
        <v>0</v>
      </c>
      <c r="I13" s="33">
        <v>0</v>
      </c>
      <c r="J13" s="36">
        <f>E13-G13-I13</f>
        <v>51840</v>
      </c>
      <c r="K13" s="49">
        <f>I13+G13</f>
        <v>0</v>
      </c>
      <c r="L13" s="38">
        <v>0</v>
      </c>
      <c r="M13" s="51"/>
      <c r="N13" s="50"/>
    </row>
    <row r="14" spans="1:17" s="41" customFormat="1" ht="39.75" thickBot="1" x14ac:dyDescent="0.35">
      <c r="A14" s="26" t="s">
        <v>41</v>
      </c>
      <c r="B14" s="61"/>
      <c r="C14" s="62"/>
      <c r="D14" s="62"/>
      <c r="E14" s="64"/>
      <c r="F14" s="55"/>
      <c r="G14" s="55"/>
      <c r="H14" s="55"/>
      <c r="I14" s="36"/>
      <c r="J14" s="36"/>
      <c r="K14" s="66"/>
      <c r="L14" s="58">
        <f>(K15)*100/(E15)</f>
        <v>19.784427194260733</v>
      </c>
      <c r="M14" s="59"/>
      <c r="N14" s="60" t="e">
        <f>(K16+K21+#REF!+K17+#REF!)*100/(M16+M21+#REF!+M17+#REF!)</f>
        <v>#REF!</v>
      </c>
    </row>
    <row r="15" spans="1:17" s="41" customFormat="1" ht="20.25" thickBot="1" x14ac:dyDescent="0.35">
      <c r="A15" s="28" t="s">
        <v>42</v>
      </c>
      <c r="B15" s="29">
        <f>3866940+3866940</f>
        <v>7733880</v>
      </c>
      <c r="C15" s="30">
        <v>0</v>
      </c>
      <c r="D15" s="31">
        <f>2024440</f>
        <v>2024440</v>
      </c>
      <c r="E15" s="32">
        <f>B15+C15-D15</f>
        <v>5709440</v>
      </c>
      <c r="F15" s="33">
        <v>15175</v>
      </c>
      <c r="G15" s="42">
        <v>1129580</v>
      </c>
      <c r="H15" s="35">
        <f t="shared" ref="H15" si="3">G15*100/E15</f>
        <v>19.784427194260733</v>
      </c>
      <c r="I15" s="33">
        <v>0</v>
      </c>
      <c r="J15" s="36">
        <f>E15-G15-I15</f>
        <v>4579860</v>
      </c>
      <c r="K15" s="37">
        <f>I15+G15</f>
        <v>1129580</v>
      </c>
      <c r="L15" s="46">
        <f t="shared" ref="L15" si="4">K15*100/E15</f>
        <v>19.784427194260733</v>
      </c>
      <c r="M15" s="39">
        <v>2540000</v>
      </c>
      <c r="N15" s="47">
        <f>K15*100/M15</f>
        <v>44.471653543307085</v>
      </c>
      <c r="Q15" s="48"/>
    </row>
    <row r="16" spans="1:17" s="41" customFormat="1" ht="20.25" thickBot="1" x14ac:dyDescent="0.35">
      <c r="A16" s="27" t="s">
        <v>40</v>
      </c>
      <c r="B16" s="61"/>
      <c r="C16" s="62"/>
      <c r="D16" s="62"/>
      <c r="E16" s="64"/>
      <c r="F16" s="36"/>
      <c r="G16" s="36"/>
      <c r="H16" s="65"/>
      <c r="I16" s="36"/>
      <c r="J16" s="36"/>
      <c r="K16" s="36"/>
      <c r="L16" s="69">
        <f>(K17+K19+K20+K21)*100 /(E17+E19+E20+E21)</f>
        <v>32.80092537037892</v>
      </c>
      <c r="M16" s="68"/>
      <c r="N16" s="60">
        <f>(K17+K19+K20+K21)*100/(M17+M19+M20+M21)</f>
        <v>19.240805966916643</v>
      </c>
    </row>
    <row r="17" spans="1:14" s="41" customFormat="1" ht="19.5" x14ac:dyDescent="0.3">
      <c r="A17" s="25" t="s">
        <v>18</v>
      </c>
      <c r="B17" s="29">
        <f>1315400+195400</f>
        <v>1510800</v>
      </c>
      <c r="C17" s="30">
        <v>0</v>
      </c>
      <c r="D17" s="30">
        <v>0</v>
      </c>
      <c r="E17" s="51">
        <f t="shared" ref="E17:E22" si="5">B17+C17-D17</f>
        <v>1510800</v>
      </c>
      <c r="F17" s="33">
        <v>74961.5</v>
      </c>
      <c r="G17" s="42">
        <v>404559.65</v>
      </c>
      <c r="H17" s="35">
        <f t="shared" ref="H17:H21" si="6">G17*100/E17</f>
        <v>26.777842864707441</v>
      </c>
      <c r="I17" s="33">
        <v>0</v>
      </c>
      <c r="J17" s="36">
        <f>E17-G17-I17</f>
        <v>1106240.3500000001</v>
      </c>
      <c r="K17" s="37">
        <f t="shared" ref="K17:K22" si="7">I17+G17</f>
        <v>404559.65</v>
      </c>
      <c r="L17" s="38">
        <f t="shared" ref="L17:L21" si="8">K17*100/E17</f>
        <v>26.777842864707441</v>
      </c>
      <c r="M17" s="39">
        <v>2898700</v>
      </c>
      <c r="N17" s="40">
        <f t="shared" ref="N17:N22" si="9">K17*100/M17</f>
        <v>13.956589160658226</v>
      </c>
    </row>
    <row r="18" spans="1:14" s="41" customFormat="1" ht="19.5" x14ac:dyDescent="0.3">
      <c r="A18" s="25" t="s">
        <v>51</v>
      </c>
      <c r="B18" s="29">
        <f>500000+500000</f>
        <v>1000000</v>
      </c>
      <c r="C18" s="30">
        <v>0</v>
      </c>
      <c r="D18" s="30">
        <v>0</v>
      </c>
      <c r="E18" s="51">
        <f t="shared" si="5"/>
        <v>1000000</v>
      </c>
      <c r="F18" s="33">
        <v>0</v>
      </c>
      <c r="G18" s="42">
        <v>470406</v>
      </c>
      <c r="H18" s="35">
        <f t="shared" si="6"/>
        <v>47.040599999999998</v>
      </c>
      <c r="I18" s="33">
        <v>0</v>
      </c>
      <c r="J18" s="36">
        <f>E18-G18-I18</f>
        <v>529594</v>
      </c>
      <c r="K18" s="37">
        <f t="shared" si="7"/>
        <v>470406</v>
      </c>
      <c r="L18" s="38">
        <f t="shared" si="8"/>
        <v>47.040599999999998</v>
      </c>
      <c r="M18" s="39"/>
      <c r="N18" s="40"/>
    </row>
    <row r="19" spans="1:14" s="41" customFormat="1" ht="19.5" x14ac:dyDescent="0.3">
      <c r="A19" s="25" t="s">
        <v>47</v>
      </c>
      <c r="B19" s="29">
        <f>97000+133400</f>
        <v>230400</v>
      </c>
      <c r="C19" s="30">
        <f>24000+40400</f>
        <v>64400</v>
      </c>
      <c r="D19" s="30">
        <f>24000+42000</f>
        <v>66000</v>
      </c>
      <c r="E19" s="32">
        <f t="shared" si="5"/>
        <v>228800</v>
      </c>
      <c r="F19" s="33">
        <v>25400</v>
      </c>
      <c r="G19" s="42">
        <v>99400</v>
      </c>
      <c r="H19" s="35">
        <f t="shared" si="6"/>
        <v>43.444055944055947</v>
      </c>
      <c r="I19" s="33">
        <v>0</v>
      </c>
      <c r="J19" s="36">
        <f>E19-G19-I19</f>
        <v>129400</v>
      </c>
      <c r="K19" s="37">
        <f t="shared" si="7"/>
        <v>99400</v>
      </c>
      <c r="L19" s="43">
        <f t="shared" si="8"/>
        <v>43.444055944055947</v>
      </c>
      <c r="M19" s="39">
        <v>180000</v>
      </c>
      <c r="N19" s="44">
        <f t="shared" si="9"/>
        <v>55.222222222222221</v>
      </c>
    </row>
    <row r="20" spans="1:14" s="41" customFormat="1" ht="19.5" x14ac:dyDescent="0.3">
      <c r="A20" s="25" t="s">
        <v>48</v>
      </c>
      <c r="B20" s="29">
        <f>143600+132400</f>
        <v>276000</v>
      </c>
      <c r="C20" s="30">
        <v>0</v>
      </c>
      <c r="D20" s="30">
        <f>18000+18000</f>
        <v>36000</v>
      </c>
      <c r="E20" s="32">
        <f t="shared" si="5"/>
        <v>240000</v>
      </c>
      <c r="F20" s="33">
        <v>20000</v>
      </c>
      <c r="G20" s="42">
        <v>120000</v>
      </c>
      <c r="H20" s="35">
        <f t="shared" si="6"/>
        <v>50</v>
      </c>
      <c r="I20" s="33">
        <v>0</v>
      </c>
      <c r="J20" s="36">
        <f t="shared" ref="J20:J22" si="10">E20-G20-I20</f>
        <v>120000</v>
      </c>
      <c r="K20" s="49">
        <f>I20+G20</f>
        <v>120000</v>
      </c>
      <c r="L20" s="43">
        <f t="shared" si="8"/>
        <v>50</v>
      </c>
      <c r="M20" s="39">
        <v>264000</v>
      </c>
      <c r="N20" s="44">
        <f t="shared" si="9"/>
        <v>45.454545454545453</v>
      </c>
    </row>
    <row r="21" spans="1:14" s="41" customFormat="1" ht="19.5" x14ac:dyDescent="0.3">
      <c r="A21" s="25" t="s">
        <v>49</v>
      </c>
      <c r="B21" s="29">
        <f>88100+99000</f>
        <v>187100</v>
      </c>
      <c r="C21" s="30">
        <v>0</v>
      </c>
      <c r="D21" s="30">
        <v>0</v>
      </c>
      <c r="E21" s="32">
        <f t="shared" si="5"/>
        <v>187100</v>
      </c>
      <c r="F21" s="33">
        <v>20211</v>
      </c>
      <c r="G21" s="42">
        <v>86738</v>
      </c>
      <c r="H21" s="35">
        <f t="shared" si="6"/>
        <v>46.359166221272048</v>
      </c>
      <c r="I21" s="33">
        <v>0</v>
      </c>
      <c r="J21" s="36">
        <f t="shared" si="10"/>
        <v>100362</v>
      </c>
      <c r="K21" s="49">
        <f>I21+G21</f>
        <v>86738</v>
      </c>
      <c r="L21" s="38">
        <f t="shared" si="8"/>
        <v>46.359166221272048</v>
      </c>
      <c r="M21" s="39">
        <v>351000</v>
      </c>
      <c r="N21" s="40">
        <f t="shared" si="9"/>
        <v>24.711680911680912</v>
      </c>
    </row>
    <row r="22" spans="1:14" s="41" customFormat="1" ht="19.5" x14ac:dyDescent="0.3">
      <c r="A22" s="25" t="s">
        <v>50</v>
      </c>
      <c r="B22" s="29">
        <f>0+671000</f>
        <v>671000</v>
      </c>
      <c r="C22" s="30">
        <v>0</v>
      </c>
      <c r="D22" s="30">
        <v>0</v>
      </c>
      <c r="E22" s="32">
        <f t="shared" si="5"/>
        <v>671000</v>
      </c>
      <c r="F22" s="33">
        <v>0</v>
      </c>
      <c r="G22" s="42">
        <v>0</v>
      </c>
      <c r="H22" s="35">
        <v>0</v>
      </c>
      <c r="I22" s="33">
        <v>0</v>
      </c>
      <c r="J22" s="36">
        <f t="shared" si="10"/>
        <v>671000</v>
      </c>
      <c r="K22" s="49">
        <f t="shared" si="7"/>
        <v>0</v>
      </c>
      <c r="L22" s="38">
        <v>0</v>
      </c>
      <c r="M22" s="39">
        <v>49000</v>
      </c>
      <c r="N22" s="44">
        <f t="shared" si="9"/>
        <v>0</v>
      </c>
    </row>
    <row r="23" spans="1:14" s="80" customFormat="1" x14ac:dyDescent="0.3">
      <c r="A23" s="70" t="s">
        <v>15</v>
      </c>
      <c r="B23" s="71">
        <f>SUM(B5:B22)</f>
        <v>35483840</v>
      </c>
      <c r="C23" s="71">
        <f>SUM(C5:C22)</f>
        <v>184400</v>
      </c>
      <c r="D23" s="71">
        <f>SUM(D5:D22)</f>
        <v>8959600</v>
      </c>
      <c r="E23" s="72">
        <f>SUM(E5:E22)</f>
        <v>26708640</v>
      </c>
      <c r="F23" s="73">
        <f>SUM(F5:F22)</f>
        <v>210015.5</v>
      </c>
      <c r="G23" s="74">
        <f>SUM(G6:G22)</f>
        <v>5161928.6500000004</v>
      </c>
      <c r="H23" s="75">
        <f>G23*100/E23</f>
        <v>19.326812035356351</v>
      </c>
      <c r="I23" s="73">
        <f>SUM(I5:I22)</f>
        <v>0</v>
      </c>
      <c r="J23" s="76">
        <f>SUM(J5:J22)</f>
        <v>21546711.350000001</v>
      </c>
      <c r="K23" s="77">
        <f>SUM(K5:K22)</f>
        <v>5161928.6500000004</v>
      </c>
      <c r="L23" s="78">
        <f>K23*100/E23</f>
        <v>19.326812035356351</v>
      </c>
      <c r="M23" s="79">
        <f>SUM(M5:M22)</f>
        <v>18906500</v>
      </c>
      <c r="N23" s="75">
        <f>K23*100/M23</f>
        <v>27.302402083939388</v>
      </c>
    </row>
    <row r="24" spans="1:14" s="80" customFormat="1" x14ac:dyDescent="0.3">
      <c r="A24" s="81" t="s">
        <v>19</v>
      </c>
      <c r="B24" s="82">
        <f>B23-B22</f>
        <v>34812840</v>
      </c>
      <c r="C24" s="82">
        <f>C23-C22</f>
        <v>184400</v>
      </c>
      <c r="D24" s="82">
        <f>D23-D22</f>
        <v>8959600</v>
      </c>
      <c r="E24" s="96">
        <f>E23-E22</f>
        <v>26037640</v>
      </c>
      <c r="F24" s="82">
        <f t="shared" ref="F24" si="11">F23-F22</f>
        <v>210015.5</v>
      </c>
      <c r="G24" s="82">
        <f>G23-G22</f>
        <v>5161928.6500000004</v>
      </c>
      <c r="H24" s="82">
        <f>G24*100/E24</f>
        <v>19.824871416917972</v>
      </c>
      <c r="I24" s="82">
        <f>I23-I22</f>
        <v>0</v>
      </c>
      <c r="J24" s="82">
        <f>J23-J22</f>
        <v>20875711.350000001</v>
      </c>
      <c r="K24" s="82">
        <f>K23-K22</f>
        <v>5161928.6500000004</v>
      </c>
      <c r="L24" s="104">
        <f>K24*100/E24</f>
        <v>19.824871416917972</v>
      </c>
      <c r="M24" s="83" t="e">
        <f>M23-M22-#REF!-#REF!</f>
        <v>#REF!</v>
      </c>
      <c r="N24" s="84" t="e">
        <f>K24*100/M24</f>
        <v>#REF!</v>
      </c>
    </row>
    <row r="25" spans="1:14" s="41" customFormat="1" x14ac:dyDescent="0.3">
      <c r="A25" s="6" t="s">
        <v>20</v>
      </c>
      <c r="B25" s="85"/>
      <c r="C25" s="85"/>
      <c r="D25" s="85"/>
      <c r="E25" s="86"/>
      <c r="F25" s="86"/>
      <c r="G25" s="87">
        <f>G24+I24</f>
        <v>5161928.6500000004</v>
      </c>
      <c r="H25" s="88">
        <f>G25*100/E24</f>
        <v>19.824871416917972</v>
      </c>
      <c r="I25" s="86"/>
      <c r="J25" s="89"/>
      <c r="K25" s="86"/>
      <c r="L25" s="90"/>
      <c r="M25" s="86"/>
      <c r="N25" s="86"/>
    </row>
    <row r="26" spans="1:14" s="41" customFormat="1" x14ac:dyDescent="0.3">
      <c r="A26" s="91" t="s">
        <v>46</v>
      </c>
      <c r="B26" s="107"/>
      <c r="C26" s="120" t="s">
        <v>35</v>
      </c>
      <c r="D26" s="121"/>
      <c r="E26" s="121"/>
      <c r="F26" s="107">
        <v>45</v>
      </c>
      <c r="G26" s="120" t="s">
        <v>36</v>
      </c>
      <c r="H26" s="121"/>
      <c r="I26" s="121"/>
      <c r="J26" s="20">
        <v>95</v>
      </c>
      <c r="K26" s="21"/>
      <c r="L26" s="21"/>
      <c r="M26" s="107">
        <v>97</v>
      </c>
      <c r="N26" s="20"/>
    </row>
    <row r="27" spans="1:14" x14ac:dyDescent="0.3">
      <c r="B27" s="5"/>
      <c r="C27" s="103"/>
      <c r="D27" s="109"/>
      <c r="E27" s="110">
        <f>E23-[2]มีค.63!$E$32</f>
        <v>0</v>
      </c>
      <c r="F27" s="111">
        <f>F23-[2]มีค.63!$F$32</f>
        <v>0</v>
      </c>
      <c r="G27" s="111">
        <f>G23-[2]มีค.63!$G$32</f>
        <v>0</v>
      </c>
      <c r="H27" s="112"/>
      <c r="I27" s="111">
        <f>I23-[2]มีค.63!$H$32</f>
        <v>0</v>
      </c>
      <c r="J27" s="111">
        <f>J23-[2]มีค.63!$I$32</f>
        <v>0</v>
      </c>
      <c r="K27" s="108"/>
    </row>
    <row r="30" spans="1:14" x14ac:dyDescent="0.3">
      <c r="K30" s="5"/>
      <c r="L30" s="5"/>
      <c r="M30" s="5"/>
      <c r="N30" s="5"/>
    </row>
  </sheetData>
  <mergeCells count="4">
    <mergeCell ref="C2:D2"/>
    <mergeCell ref="C26:E26"/>
    <mergeCell ref="G26:I26"/>
    <mergeCell ref="A1:L1"/>
  </mergeCells>
  <pageMargins left="0.24" right="0.17" top="0.51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L23" sqref="L23"/>
    </sheetView>
  </sheetViews>
  <sheetFormatPr defaultRowHeight="18.75" x14ac:dyDescent="0.3"/>
  <cols>
    <col min="1" max="1" width="51" style="4" customWidth="1"/>
    <col min="2" max="2" width="12" style="4" customWidth="1"/>
    <col min="3" max="3" width="10" style="4" customWidth="1"/>
    <col min="4" max="4" width="11.28515625" style="4" customWidth="1"/>
    <col min="5" max="5" width="12.28515625" style="4" customWidth="1"/>
    <col min="6" max="6" width="13" style="4" customWidth="1"/>
    <col min="7" max="7" width="14.85546875" style="4" customWidth="1"/>
    <col min="8" max="8" width="8.42578125" style="4" customWidth="1"/>
    <col min="9" max="9" width="11.5703125" style="4" customWidth="1"/>
    <col min="10" max="10" width="14.7109375" style="4" customWidth="1"/>
    <col min="11" max="11" width="14.5703125" style="4" customWidth="1"/>
    <col min="12" max="12" width="9.42578125" style="4" customWidth="1"/>
    <col min="13" max="13" width="13.85546875" style="4" hidden="1" customWidth="1"/>
    <col min="14" max="14" width="0.5703125" style="4" hidden="1" customWidth="1"/>
    <col min="15" max="16384" width="9.140625" style="4"/>
  </cols>
  <sheetData>
    <row r="1" spans="1:17" s="1" customFormat="1" ht="26.25" x14ac:dyDescent="0.2">
      <c r="A1" s="116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7" s="2" customFormat="1" x14ac:dyDescent="0.3">
      <c r="A2" s="7" t="s">
        <v>0</v>
      </c>
      <c r="B2" s="7" t="s">
        <v>1</v>
      </c>
      <c r="C2" s="118" t="s">
        <v>4</v>
      </c>
      <c r="D2" s="119"/>
      <c r="E2" s="8" t="s">
        <v>1</v>
      </c>
      <c r="F2" s="7" t="s">
        <v>10</v>
      </c>
      <c r="G2" s="8" t="s">
        <v>16</v>
      </c>
      <c r="H2" s="7" t="s">
        <v>21</v>
      </c>
      <c r="I2" s="7" t="s">
        <v>12</v>
      </c>
      <c r="J2" s="7" t="s">
        <v>14</v>
      </c>
      <c r="K2" s="7" t="s">
        <v>22</v>
      </c>
      <c r="L2" s="7" t="s">
        <v>21</v>
      </c>
      <c r="M2" s="22" t="s">
        <v>23</v>
      </c>
      <c r="N2" s="7" t="s">
        <v>21</v>
      </c>
    </row>
    <row r="3" spans="1:17" s="2" customFormat="1" x14ac:dyDescent="0.3">
      <c r="A3" s="9"/>
      <c r="B3" s="9" t="s">
        <v>2</v>
      </c>
      <c r="C3" s="10" t="s">
        <v>5</v>
      </c>
      <c r="D3" s="7" t="s">
        <v>7</v>
      </c>
      <c r="E3" s="11" t="s">
        <v>9</v>
      </c>
      <c r="F3" s="9"/>
      <c r="G3" s="11"/>
      <c r="H3" s="12" t="s">
        <v>34</v>
      </c>
      <c r="I3" s="9" t="s">
        <v>13</v>
      </c>
      <c r="J3" s="9" t="s">
        <v>26</v>
      </c>
      <c r="K3" s="9"/>
      <c r="L3" s="12" t="s">
        <v>27</v>
      </c>
      <c r="M3" s="23" t="s">
        <v>24</v>
      </c>
      <c r="N3" s="18" t="s">
        <v>28</v>
      </c>
    </row>
    <row r="4" spans="1:17" s="3" customFormat="1" ht="19.5" thickBot="1" x14ac:dyDescent="0.25">
      <c r="A4" s="13"/>
      <c r="B4" s="14" t="s">
        <v>3</v>
      </c>
      <c r="C4" s="15" t="s">
        <v>6</v>
      </c>
      <c r="D4" s="14" t="s">
        <v>8</v>
      </c>
      <c r="E4" s="16" t="s">
        <v>25</v>
      </c>
      <c r="F4" s="14" t="s">
        <v>17</v>
      </c>
      <c r="G4" s="16" t="s">
        <v>11</v>
      </c>
      <c r="H4" s="17" t="s">
        <v>33</v>
      </c>
      <c r="I4" s="14"/>
      <c r="J4" s="14"/>
      <c r="K4" s="14" t="s">
        <v>29</v>
      </c>
      <c r="L4" s="19" t="s">
        <v>30</v>
      </c>
      <c r="M4" s="24" t="s">
        <v>31</v>
      </c>
      <c r="N4" s="19" t="s">
        <v>32</v>
      </c>
    </row>
    <row r="5" spans="1:17" s="41" customFormat="1" ht="20.25" thickBot="1" x14ac:dyDescent="0.35">
      <c r="A5" s="26" t="s">
        <v>37</v>
      </c>
      <c r="B5" s="52"/>
      <c r="C5" s="53"/>
      <c r="D5" s="53"/>
      <c r="E5" s="54"/>
      <c r="F5" s="55"/>
      <c r="G5" s="55"/>
      <c r="H5" s="55"/>
      <c r="I5" s="56"/>
      <c r="J5" s="56"/>
      <c r="K5" s="57"/>
      <c r="L5" s="58">
        <f>(K6)*100/(E6)</f>
        <v>37.433956310679612</v>
      </c>
      <c r="M5" s="59"/>
      <c r="N5" s="60" t="e">
        <f>(K6+K8+K9+K15+#REF!)*100/(M6+M8+M9+M15+#REF!)</f>
        <v>#REF!</v>
      </c>
    </row>
    <row r="6" spans="1:17" s="41" customFormat="1" ht="39.75" thickBot="1" x14ac:dyDescent="0.35">
      <c r="A6" s="28" t="s">
        <v>52</v>
      </c>
      <c r="B6" s="29">
        <f>0+8450460</f>
        <v>8450460</v>
      </c>
      <c r="C6" s="30">
        <v>0</v>
      </c>
      <c r="D6" s="31">
        <f>815000+3515460</f>
        <v>4330460</v>
      </c>
      <c r="E6" s="32">
        <f>B6+C6-D6</f>
        <v>4120000</v>
      </c>
      <c r="F6" s="33">
        <v>20000</v>
      </c>
      <c r="G6" s="34">
        <v>1542279</v>
      </c>
      <c r="H6" s="35">
        <f>G6*100/E6</f>
        <v>37.433956310679612</v>
      </c>
      <c r="I6" s="33">
        <v>0</v>
      </c>
      <c r="J6" s="36">
        <f>E6-G6-I6</f>
        <v>2577721</v>
      </c>
      <c r="K6" s="37">
        <f>I6+G6</f>
        <v>1542279</v>
      </c>
      <c r="L6" s="38">
        <f>K6*100/E6</f>
        <v>37.433956310679612</v>
      </c>
      <c r="M6" s="39">
        <v>8800000</v>
      </c>
      <c r="N6" s="40">
        <f>K6*100/M6</f>
        <v>17.525897727272728</v>
      </c>
    </row>
    <row r="7" spans="1:17" s="41" customFormat="1" ht="20.25" thickBot="1" x14ac:dyDescent="0.35">
      <c r="A7" s="27" t="s">
        <v>38</v>
      </c>
      <c r="B7" s="61"/>
      <c r="C7" s="62">
        <v>0</v>
      </c>
      <c r="D7" s="63"/>
      <c r="E7" s="64"/>
      <c r="F7" s="36"/>
      <c r="G7" s="36"/>
      <c r="H7" s="65"/>
      <c r="I7" s="36"/>
      <c r="J7" s="36"/>
      <c r="K7" s="66"/>
      <c r="L7" s="58">
        <f>(K8+K9)*100/(E8+E9)</f>
        <v>53.446487247692069</v>
      </c>
      <c r="M7" s="59"/>
      <c r="N7" s="60" t="e">
        <f>(#REF!+#REF!+#REF!+#REF!)*100/(#REF!+#REF!+#REF!+#REF!)</f>
        <v>#REF!</v>
      </c>
    </row>
    <row r="8" spans="1:17" s="41" customFormat="1" ht="39" x14ac:dyDescent="0.3">
      <c r="A8" s="28" t="s">
        <v>43</v>
      </c>
      <c r="B8" s="29">
        <f>4117500+2317500</f>
        <v>6435000</v>
      </c>
      <c r="C8" s="30">
        <v>0</v>
      </c>
      <c r="D8" s="31">
        <f>1500000+190000+3220000+400000</f>
        <v>5310000</v>
      </c>
      <c r="E8" s="32">
        <f>B8+C8-D8</f>
        <v>1125000</v>
      </c>
      <c r="F8" s="33">
        <v>0</v>
      </c>
      <c r="G8" s="42">
        <v>566669</v>
      </c>
      <c r="H8" s="35">
        <f>G8*100/E8</f>
        <v>50.370577777777775</v>
      </c>
      <c r="I8" s="33">
        <v>0</v>
      </c>
      <c r="J8" s="36">
        <f>E8-G8-I8</f>
        <v>558331</v>
      </c>
      <c r="K8" s="37">
        <f>I8+G8</f>
        <v>566669</v>
      </c>
      <c r="L8" s="43">
        <f>K8*100/E8</f>
        <v>50.370577777777775</v>
      </c>
      <c r="M8" s="39">
        <v>2150000</v>
      </c>
      <c r="N8" s="44">
        <f>K8*100/M8</f>
        <v>26.356697674418605</v>
      </c>
      <c r="Q8" s="45"/>
    </row>
    <row r="9" spans="1:17" s="41" customFormat="1" ht="39.75" thickBot="1" x14ac:dyDescent="0.35">
      <c r="A9" s="28" t="s">
        <v>54</v>
      </c>
      <c r="B9" s="29">
        <f>2824380+2707020</f>
        <v>5531400</v>
      </c>
      <c r="C9" s="30">
        <v>0</v>
      </c>
      <c r="D9" s="30">
        <f>1000000+500000+2000000+600000</f>
        <v>4100000</v>
      </c>
      <c r="E9" s="32">
        <f>B9+C9-D9</f>
        <v>1431400</v>
      </c>
      <c r="F9" s="33">
        <v>74180</v>
      </c>
      <c r="G9" s="42">
        <v>799637</v>
      </c>
      <c r="H9" s="35">
        <f>G9*100/E9</f>
        <v>55.86397932094453</v>
      </c>
      <c r="I9" s="33">
        <v>0</v>
      </c>
      <c r="J9" s="36">
        <f>E9-G9-I9</f>
        <v>631763</v>
      </c>
      <c r="K9" s="37">
        <f>I9+G9</f>
        <v>799637</v>
      </c>
      <c r="L9" s="43">
        <f>K9*100/E9</f>
        <v>55.86397932094453</v>
      </c>
      <c r="M9" s="39">
        <v>1096000</v>
      </c>
      <c r="N9" s="44">
        <f>K9*100/M9</f>
        <v>72.959580291970809</v>
      </c>
      <c r="Q9" s="45"/>
    </row>
    <row r="10" spans="1:17" s="41" customFormat="1" ht="20.25" thickBot="1" x14ac:dyDescent="0.35">
      <c r="A10" s="27" t="s">
        <v>39</v>
      </c>
      <c r="B10" s="67"/>
      <c r="C10" s="62"/>
      <c r="D10" s="62"/>
      <c r="E10" s="64"/>
      <c r="F10" s="36"/>
      <c r="G10" s="36"/>
      <c r="H10" s="65"/>
      <c r="I10" s="36"/>
      <c r="J10" s="36"/>
      <c r="K10" s="36"/>
      <c r="L10" s="69">
        <f>(K11+K12+K13)*100/(E11+E12+E13)</f>
        <v>5.6713237035282971</v>
      </c>
      <c r="M10" s="68"/>
      <c r="N10" s="60" t="e">
        <f>#REF!*100/#REF!</f>
        <v>#REF!</v>
      </c>
    </row>
    <row r="11" spans="1:17" s="41" customFormat="1" ht="39" x14ac:dyDescent="0.3">
      <c r="A11" s="28" t="s">
        <v>60</v>
      </c>
      <c r="B11" s="101"/>
      <c r="C11" s="102">
        <f>120000</f>
        <v>120000</v>
      </c>
      <c r="D11" s="102">
        <f>73960</f>
        <v>73960</v>
      </c>
      <c r="E11" s="32">
        <f>B11+C11-D11</f>
        <v>46040</v>
      </c>
      <c r="F11" s="33">
        <v>0</v>
      </c>
      <c r="G11" s="42">
        <v>36040</v>
      </c>
      <c r="H11" s="35">
        <f t="shared" ref="H11:H12" si="0">G11*100/E11</f>
        <v>78.279756733275406</v>
      </c>
      <c r="I11" s="33">
        <v>0</v>
      </c>
      <c r="J11" s="36">
        <f t="shared" ref="J11" si="1">E11-G11-I11</f>
        <v>10000</v>
      </c>
      <c r="K11" s="37">
        <f t="shared" ref="K11" si="2">I11+G11</f>
        <v>36040</v>
      </c>
      <c r="L11" s="37">
        <f>K11*100/E11</f>
        <v>78.279756733275406</v>
      </c>
      <c r="M11" s="68"/>
      <c r="N11" s="100"/>
    </row>
    <row r="12" spans="1:17" s="41" customFormat="1" ht="39" x14ac:dyDescent="0.3">
      <c r="A12" s="28" t="s">
        <v>58</v>
      </c>
      <c r="B12" s="29">
        <f>0+577800</f>
        <v>577800</v>
      </c>
      <c r="C12" s="30">
        <v>0</v>
      </c>
      <c r="D12" s="30">
        <v>0</v>
      </c>
      <c r="E12" s="32">
        <f>B12+C12-D12</f>
        <v>577800</v>
      </c>
      <c r="F12" s="33">
        <v>2280</v>
      </c>
      <c r="G12" s="42">
        <v>2280</v>
      </c>
      <c r="H12" s="35">
        <f t="shared" si="0"/>
        <v>0.39460020768431986</v>
      </c>
      <c r="I12" s="33">
        <v>0</v>
      </c>
      <c r="J12" s="36">
        <f>E12-G12-I12</f>
        <v>575520</v>
      </c>
      <c r="K12" s="37">
        <f>I12+G12</f>
        <v>2280</v>
      </c>
      <c r="L12" s="37">
        <f>K12*100/E12</f>
        <v>0.39460020768431986</v>
      </c>
      <c r="M12" s="39">
        <f>E12</f>
        <v>577800</v>
      </c>
      <c r="N12" s="40">
        <f>K12*100/M12</f>
        <v>0.39460020768431986</v>
      </c>
    </row>
    <row r="13" spans="1:17" s="41" customFormat="1" ht="20.25" thickBot="1" x14ac:dyDescent="0.35">
      <c r="A13" s="28" t="s">
        <v>59</v>
      </c>
      <c r="B13" s="29">
        <f>0+2880000</f>
        <v>2880000</v>
      </c>
      <c r="C13" s="30">
        <v>0</v>
      </c>
      <c r="D13" s="30">
        <f>2828160</f>
        <v>2828160</v>
      </c>
      <c r="E13" s="32">
        <f>B13+C13-D13</f>
        <v>51840</v>
      </c>
      <c r="F13" s="33">
        <v>0</v>
      </c>
      <c r="G13" s="42">
        <v>0</v>
      </c>
      <c r="H13" s="35">
        <v>0</v>
      </c>
      <c r="I13" s="33">
        <v>0</v>
      </c>
      <c r="J13" s="36">
        <f>E13-G13-I13</f>
        <v>51840</v>
      </c>
      <c r="K13" s="49">
        <f>I13+G13</f>
        <v>0</v>
      </c>
      <c r="L13" s="37">
        <f t="shared" ref="L13" si="3">K13*100/E13</f>
        <v>0</v>
      </c>
      <c r="M13" s="51"/>
      <c r="N13" s="50"/>
    </row>
    <row r="14" spans="1:17" s="41" customFormat="1" ht="39.75" thickBot="1" x14ac:dyDescent="0.35">
      <c r="A14" s="26" t="s">
        <v>41</v>
      </c>
      <c r="B14" s="61"/>
      <c r="C14" s="62"/>
      <c r="D14" s="62"/>
      <c r="E14" s="64"/>
      <c r="F14" s="55"/>
      <c r="G14" s="55"/>
      <c r="H14" s="55"/>
      <c r="I14" s="36"/>
      <c r="J14" s="36"/>
      <c r="K14" s="66"/>
      <c r="L14" s="58">
        <f>(K15)*100/(E15)</f>
        <v>89.292730844793709</v>
      </c>
      <c r="M14" s="59"/>
      <c r="N14" s="60" t="e">
        <f>(K16+K21+#REF!+K17+#REF!)*100/(M16+M21+#REF!+M17+#REF!)</f>
        <v>#REF!</v>
      </c>
    </row>
    <row r="15" spans="1:17" s="41" customFormat="1" ht="20.25" thickBot="1" x14ac:dyDescent="0.35">
      <c r="A15" s="28" t="s">
        <v>42</v>
      </c>
      <c r="B15" s="29">
        <f>3866940+3866940</f>
        <v>7733880</v>
      </c>
      <c r="C15" s="30">
        <v>0</v>
      </c>
      <c r="D15" s="31">
        <f>2024440+4436940</f>
        <v>6461380</v>
      </c>
      <c r="E15" s="32">
        <f>B15+C15-D15</f>
        <v>1272500</v>
      </c>
      <c r="F15" s="33">
        <v>6670</v>
      </c>
      <c r="G15" s="42">
        <v>1136250</v>
      </c>
      <c r="H15" s="35">
        <f t="shared" ref="H15" si="4">G15*100/E15</f>
        <v>89.292730844793709</v>
      </c>
      <c r="I15" s="33">
        <v>0</v>
      </c>
      <c r="J15" s="36">
        <f>E15-G15-I15</f>
        <v>136250</v>
      </c>
      <c r="K15" s="37">
        <f>I15+G15</f>
        <v>1136250</v>
      </c>
      <c r="L15" s="46">
        <f>K15*100/E15</f>
        <v>89.292730844793709</v>
      </c>
      <c r="M15" s="39">
        <v>2540000</v>
      </c>
      <c r="N15" s="47">
        <f>K15*100/M15</f>
        <v>44.734251968503933</v>
      </c>
      <c r="Q15" s="48"/>
    </row>
    <row r="16" spans="1:17" s="41" customFormat="1" ht="20.25" thickBot="1" x14ac:dyDescent="0.35">
      <c r="A16" s="27" t="s">
        <v>40</v>
      </c>
      <c r="B16" s="61"/>
      <c r="C16" s="62"/>
      <c r="D16" s="62"/>
      <c r="E16" s="64"/>
      <c r="F16" s="36"/>
      <c r="G16" s="36"/>
      <c r="H16" s="65"/>
      <c r="I16" s="36"/>
      <c r="J16" s="36"/>
      <c r="K16" s="36"/>
      <c r="L16" s="69">
        <f>(K17+K19+K20+K21)*100 /(E17+E19+E20+E21)</f>
        <v>35.338355563760558</v>
      </c>
      <c r="M16" s="68"/>
      <c r="N16" s="60">
        <f>(K17+K19+K20+K21)*100/(M17+M19+M20+M21)</f>
        <v>20.729245742751171</v>
      </c>
    </row>
    <row r="17" spans="1:14" s="41" customFormat="1" ht="19.5" x14ac:dyDescent="0.3">
      <c r="A17" s="25" t="s">
        <v>18</v>
      </c>
      <c r="B17" s="29">
        <f>1315400+195400</f>
        <v>1510800</v>
      </c>
      <c r="C17" s="30">
        <v>0</v>
      </c>
      <c r="D17" s="30">
        <v>0</v>
      </c>
      <c r="E17" s="51">
        <f t="shared" ref="E17:E22" si="5">B17+C17-D17</f>
        <v>1510800</v>
      </c>
      <c r="F17" s="33">
        <v>19978.5</v>
      </c>
      <c r="G17" s="42">
        <v>424538.15</v>
      </c>
      <c r="H17" s="35">
        <f t="shared" ref="H17:H21" si="6">G17*100/E17</f>
        <v>28.100221736828171</v>
      </c>
      <c r="I17" s="33">
        <v>0</v>
      </c>
      <c r="J17" s="36">
        <f>E17-G17-I17</f>
        <v>1086261.8500000001</v>
      </c>
      <c r="K17" s="37">
        <f t="shared" ref="K17:K22" si="7">I17+G17</f>
        <v>424538.15</v>
      </c>
      <c r="L17" s="38">
        <f t="shared" ref="L17:L21" si="8">K17*100/E17</f>
        <v>28.100221736828171</v>
      </c>
      <c r="M17" s="39">
        <v>2898700</v>
      </c>
      <c r="N17" s="40">
        <f t="shared" ref="N17:N22" si="9">K17*100/M17</f>
        <v>14.645811915686343</v>
      </c>
    </row>
    <row r="18" spans="1:14" s="41" customFormat="1" ht="19.5" x14ac:dyDescent="0.3">
      <c r="A18" s="25" t="s">
        <v>51</v>
      </c>
      <c r="B18" s="29">
        <f>500000+500000</f>
        <v>1000000</v>
      </c>
      <c r="C18" s="30">
        <v>0</v>
      </c>
      <c r="D18" s="30">
        <f>529594</f>
        <v>529594</v>
      </c>
      <c r="E18" s="51">
        <f t="shared" si="5"/>
        <v>470406</v>
      </c>
      <c r="F18" s="33">
        <v>0</v>
      </c>
      <c r="G18" s="42">
        <v>470406</v>
      </c>
      <c r="H18" s="35">
        <f t="shared" si="6"/>
        <v>100</v>
      </c>
      <c r="I18" s="33">
        <v>0</v>
      </c>
      <c r="J18" s="36">
        <f>E18-G18-I18</f>
        <v>0</v>
      </c>
      <c r="K18" s="37">
        <f t="shared" si="7"/>
        <v>470406</v>
      </c>
      <c r="L18" s="38">
        <f t="shared" si="8"/>
        <v>100</v>
      </c>
      <c r="M18" s="39"/>
      <c r="N18" s="40"/>
    </row>
    <row r="19" spans="1:14" s="41" customFormat="1" ht="19.5" x14ac:dyDescent="0.3">
      <c r="A19" s="25" t="s">
        <v>47</v>
      </c>
      <c r="B19" s="29">
        <f>97000+133400</f>
        <v>230400</v>
      </c>
      <c r="C19" s="30">
        <f>24000+40400</f>
        <v>64400</v>
      </c>
      <c r="D19" s="30">
        <f>24000+42000</f>
        <v>66000</v>
      </c>
      <c r="E19" s="32">
        <f t="shared" si="5"/>
        <v>228800</v>
      </c>
      <c r="F19" s="33">
        <v>15000</v>
      </c>
      <c r="G19" s="42">
        <v>114400</v>
      </c>
      <c r="H19" s="35">
        <f t="shared" si="6"/>
        <v>50</v>
      </c>
      <c r="I19" s="33">
        <v>0</v>
      </c>
      <c r="J19" s="36">
        <f>E19-G19-I19</f>
        <v>114400</v>
      </c>
      <c r="K19" s="37">
        <f t="shared" si="7"/>
        <v>114400</v>
      </c>
      <c r="L19" s="43">
        <f t="shared" si="8"/>
        <v>50</v>
      </c>
      <c r="M19" s="39">
        <v>180000</v>
      </c>
      <c r="N19" s="44">
        <f t="shared" si="9"/>
        <v>63.555555555555557</v>
      </c>
    </row>
    <row r="20" spans="1:14" s="41" customFormat="1" ht="19.5" x14ac:dyDescent="0.3">
      <c r="A20" s="25" t="s">
        <v>48</v>
      </c>
      <c r="B20" s="29">
        <f>143600+132400</f>
        <v>276000</v>
      </c>
      <c r="C20" s="30">
        <v>0</v>
      </c>
      <c r="D20" s="30">
        <f>18000+18000</f>
        <v>36000</v>
      </c>
      <c r="E20" s="32">
        <f t="shared" si="5"/>
        <v>240000</v>
      </c>
      <c r="F20" s="33">
        <v>20000</v>
      </c>
      <c r="G20" s="42">
        <v>140000</v>
      </c>
      <c r="H20" s="35">
        <f t="shared" si="6"/>
        <v>58.333333333333336</v>
      </c>
      <c r="I20" s="33">
        <v>0</v>
      </c>
      <c r="J20" s="36">
        <f t="shared" ref="J20:J22" si="10">E20-G20-I20</f>
        <v>100000</v>
      </c>
      <c r="K20" s="49">
        <f>I20+G20</f>
        <v>140000</v>
      </c>
      <c r="L20" s="43">
        <f t="shared" si="8"/>
        <v>58.333333333333336</v>
      </c>
      <c r="M20" s="39">
        <v>264000</v>
      </c>
      <c r="N20" s="44">
        <f t="shared" si="9"/>
        <v>53.030303030303031</v>
      </c>
    </row>
    <row r="21" spans="1:14" s="41" customFormat="1" ht="19.5" x14ac:dyDescent="0.3">
      <c r="A21" s="25" t="s">
        <v>49</v>
      </c>
      <c r="B21" s="29">
        <f>88100+99000</f>
        <v>187100</v>
      </c>
      <c r="C21" s="30">
        <v>0</v>
      </c>
      <c r="D21" s="30">
        <v>0</v>
      </c>
      <c r="E21" s="32">
        <f t="shared" si="5"/>
        <v>187100</v>
      </c>
      <c r="F21" s="33">
        <v>0</v>
      </c>
      <c r="G21" s="42">
        <v>86738</v>
      </c>
      <c r="H21" s="35">
        <f t="shared" si="6"/>
        <v>46.359166221272048</v>
      </c>
      <c r="I21" s="33">
        <v>0</v>
      </c>
      <c r="J21" s="36">
        <f t="shared" si="10"/>
        <v>100362</v>
      </c>
      <c r="K21" s="49">
        <f>I21+G21</f>
        <v>86738</v>
      </c>
      <c r="L21" s="38">
        <f t="shared" si="8"/>
        <v>46.359166221272048</v>
      </c>
      <c r="M21" s="39">
        <v>351000</v>
      </c>
      <c r="N21" s="40">
        <f t="shared" si="9"/>
        <v>24.711680911680912</v>
      </c>
    </row>
    <row r="22" spans="1:14" s="41" customFormat="1" ht="19.5" x14ac:dyDescent="0.3">
      <c r="A22" s="25" t="s">
        <v>50</v>
      </c>
      <c r="B22" s="29">
        <f>0+671000</f>
        <v>671000</v>
      </c>
      <c r="C22" s="30">
        <v>0</v>
      </c>
      <c r="D22" s="30">
        <f>378500</f>
        <v>378500</v>
      </c>
      <c r="E22" s="32">
        <f t="shared" si="5"/>
        <v>292500</v>
      </c>
      <c r="F22" s="33">
        <v>0</v>
      </c>
      <c r="G22" s="42">
        <v>0</v>
      </c>
      <c r="H22" s="35">
        <v>0</v>
      </c>
      <c r="I22" s="33">
        <v>0</v>
      </c>
      <c r="J22" s="36">
        <f t="shared" si="10"/>
        <v>292500</v>
      </c>
      <c r="K22" s="49">
        <f t="shared" si="7"/>
        <v>0</v>
      </c>
      <c r="L22" s="38">
        <v>0</v>
      </c>
      <c r="M22" s="39">
        <v>49000</v>
      </c>
      <c r="N22" s="44">
        <f t="shared" si="9"/>
        <v>0</v>
      </c>
    </row>
    <row r="23" spans="1:14" s="80" customFormat="1" x14ac:dyDescent="0.3">
      <c r="A23" s="70" t="s">
        <v>15</v>
      </c>
      <c r="B23" s="71">
        <f>SUM(B5:B22)</f>
        <v>35483840</v>
      </c>
      <c r="C23" s="71">
        <f>SUM(C5:C22)</f>
        <v>184400</v>
      </c>
      <c r="D23" s="71">
        <f>SUM(D5:D22)</f>
        <v>24114054</v>
      </c>
      <c r="E23" s="72">
        <f>SUM(E5:E22)</f>
        <v>11554186</v>
      </c>
      <c r="F23" s="73">
        <f>SUM(F5:F22)</f>
        <v>158108.5</v>
      </c>
      <c r="G23" s="74">
        <f>SUM(G6:G22)</f>
        <v>5319237.1500000004</v>
      </c>
      <c r="H23" s="75">
        <f>G23*100/E23</f>
        <v>46.037316259232803</v>
      </c>
      <c r="I23" s="73">
        <f>SUM(I5:I22)</f>
        <v>0</v>
      </c>
      <c r="J23" s="76">
        <f>SUM(J5:J22)</f>
        <v>6234948.8499999996</v>
      </c>
      <c r="K23" s="77">
        <f>SUM(K5:K22)</f>
        <v>5319237.1500000004</v>
      </c>
      <c r="L23" s="78">
        <f>K23*100/E23</f>
        <v>46.037316259232803</v>
      </c>
      <c r="M23" s="79">
        <f>SUM(M5:M22)</f>
        <v>18906500</v>
      </c>
      <c r="N23" s="75">
        <f>K23*100/M23</f>
        <v>28.134436040515169</v>
      </c>
    </row>
    <row r="24" spans="1:14" s="80" customFormat="1" x14ac:dyDescent="0.3">
      <c r="A24" s="81" t="s">
        <v>19</v>
      </c>
      <c r="B24" s="82">
        <f>B23-B22</f>
        <v>34812840</v>
      </c>
      <c r="C24" s="82">
        <f>C23-C22</f>
        <v>184400</v>
      </c>
      <c r="D24" s="82">
        <f>D23-D22</f>
        <v>23735554</v>
      </c>
      <c r="E24" s="96">
        <f>E23-E22</f>
        <v>11261686</v>
      </c>
      <c r="F24" s="82">
        <f t="shared" ref="F24" si="11">F23-F22</f>
        <v>158108.5</v>
      </c>
      <c r="G24" s="82">
        <f>G23-G22</f>
        <v>5319237.1500000004</v>
      </c>
      <c r="H24" s="82">
        <f>G24*100/E24</f>
        <v>47.233044412710498</v>
      </c>
      <c r="I24" s="82">
        <f>I23-I22</f>
        <v>0</v>
      </c>
      <c r="J24" s="82">
        <f>J23-J22</f>
        <v>5942448.8499999996</v>
      </c>
      <c r="K24" s="82">
        <f>K23-K22</f>
        <v>5319237.1500000004</v>
      </c>
      <c r="L24" s="104">
        <f>K24*100/E24</f>
        <v>47.233044412710498</v>
      </c>
      <c r="M24" s="83" t="e">
        <f>M23-M22-#REF!-#REF!</f>
        <v>#REF!</v>
      </c>
      <c r="N24" s="84" t="e">
        <f>K24*100/M24</f>
        <v>#REF!</v>
      </c>
    </row>
    <row r="25" spans="1:14" s="41" customFormat="1" x14ac:dyDescent="0.3">
      <c r="A25" s="6" t="s">
        <v>20</v>
      </c>
      <c r="B25" s="85"/>
      <c r="C25" s="85"/>
      <c r="D25" s="85"/>
      <c r="E25" s="86"/>
      <c r="F25" s="86"/>
      <c r="G25" s="87">
        <f>G24+I24</f>
        <v>5319237.1500000004</v>
      </c>
      <c r="H25" s="88">
        <f>G25*100/E24</f>
        <v>47.233044412710498</v>
      </c>
      <c r="I25" s="86"/>
      <c r="J25" s="89"/>
      <c r="K25" s="86"/>
      <c r="L25" s="90"/>
      <c r="M25" s="86"/>
      <c r="N25" s="86"/>
    </row>
    <row r="26" spans="1:14" s="41" customFormat="1" x14ac:dyDescent="0.3">
      <c r="A26" s="91" t="s">
        <v>46</v>
      </c>
      <c r="B26" s="113"/>
      <c r="C26" s="120" t="s">
        <v>35</v>
      </c>
      <c r="D26" s="121"/>
      <c r="E26" s="121"/>
      <c r="F26" s="113">
        <v>45</v>
      </c>
      <c r="G26" s="120" t="s">
        <v>36</v>
      </c>
      <c r="H26" s="121"/>
      <c r="I26" s="121"/>
      <c r="J26" s="20">
        <v>95</v>
      </c>
      <c r="K26" s="21"/>
      <c r="L26" s="21"/>
      <c r="M26" s="113">
        <v>97</v>
      </c>
      <c r="N26" s="20"/>
    </row>
    <row r="27" spans="1:14" s="94" customFormat="1" x14ac:dyDescent="0.3">
      <c r="B27" s="93"/>
      <c r="C27" s="93"/>
      <c r="D27" s="111"/>
      <c r="E27" s="110">
        <f>E23-[1]เมย.63!$E$32</f>
        <v>0</v>
      </c>
      <c r="F27" s="111">
        <f>F23-[1]เมย.63!$F$32</f>
        <v>0</v>
      </c>
      <c r="G27" s="111">
        <f>G23-[1]เมย.63!$G$32</f>
        <v>0</v>
      </c>
      <c r="H27" s="112"/>
      <c r="I27" s="111">
        <f>I23-[1]เมย.63!$H$32</f>
        <v>0</v>
      </c>
      <c r="J27" s="111">
        <f>J23-[1]เมย.63!$I$32</f>
        <v>0</v>
      </c>
      <c r="K27" s="112"/>
    </row>
    <row r="30" spans="1:14" x14ac:dyDescent="0.3">
      <c r="K30" s="5"/>
      <c r="L30" s="5"/>
      <c r="M30" s="5"/>
      <c r="N30" s="5"/>
    </row>
  </sheetData>
  <mergeCells count="4">
    <mergeCell ref="A1:L1"/>
    <mergeCell ref="C2:D2"/>
    <mergeCell ref="C26:E26"/>
    <mergeCell ref="G26:I26"/>
  </mergeCells>
  <pageMargins left="0.18" right="0.17" top="0.51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B34" sqref="B34"/>
    </sheetView>
  </sheetViews>
  <sheetFormatPr defaultRowHeight="18.75" x14ac:dyDescent="0.3"/>
  <cols>
    <col min="1" max="1" width="48.7109375" style="4" customWidth="1"/>
    <col min="2" max="2" width="12" style="4" customWidth="1"/>
    <col min="3" max="3" width="10" style="4" customWidth="1"/>
    <col min="4" max="4" width="12.7109375" style="4" customWidth="1"/>
    <col min="5" max="5" width="13" style="4" customWidth="1"/>
    <col min="6" max="6" width="12.7109375" style="4" customWidth="1"/>
    <col min="7" max="7" width="15.140625" style="4" customWidth="1"/>
    <col min="8" max="8" width="8.42578125" style="4" customWidth="1"/>
    <col min="9" max="9" width="11.5703125" style="4" customWidth="1"/>
    <col min="10" max="10" width="13.85546875" style="4" customWidth="1"/>
    <col min="11" max="11" width="14.5703125" style="4" customWidth="1"/>
    <col min="12" max="12" width="9.42578125" style="4" customWidth="1"/>
    <col min="13" max="13" width="13.85546875" style="4" hidden="1" customWidth="1"/>
    <col min="14" max="14" width="0.5703125" style="4" hidden="1" customWidth="1"/>
    <col min="15" max="16384" width="9.140625" style="4"/>
  </cols>
  <sheetData>
    <row r="1" spans="1:17" s="1" customFormat="1" ht="26.25" x14ac:dyDescent="0.2">
      <c r="A1" s="116" t="s">
        <v>65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7" s="2" customFormat="1" x14ac:dyDescent="0.3">
      <c r="A2" s="7" t="s">
        <v>0</v>
      </c>
      <c r="B2" s="7" t="s">
        <v>1</v>
      </c>
      <c r="C2" s="118" t="s">
        <v>4</v>
      </c>
      <c r="D2" s="119"/>
      <c r="E2" s="8" t="s">
        <v>1</v>
      </c>
      <c r="F2" s="7" t="s">
        <v>10</v>
      </c>
      <c r="G2" s="8" t="s">
        <v>16</v>
      </c>
      <c r="H2" s="7" t="s">
        <v>21</v>
      </c>
      <c r="I2" s="7" t="s">
        <v>12</v>
      </c>
      <c r="J2" s="7" t="s">
        <v>14</v>
      </c>
      <c r="K2" s="7" t="s">
        <v>22</v>
      </c>
      <c r="L2" s="7" t="s">
        <v>21</v>
      </c>
      <c r="M2" s="22" t="s">
        <v>23</v>
      </c>
      <c r="N2" s="7" t="s">
        <v>21</v>
      </c>
    </row>
    <row r="3" spans="1:17" s="2" customFormat="1" x14ac:dyDescent="0.3">
      <c r="A3" s="9"/>
      <c r="B3" s="9" t="s">
        <v>2</v>
      </c>
      <c r="C3" s="10" t="s">
        <v>5</v>
      </c>
      <c r="D3" s="7" t="s">
        <v>7</v>
      </c>
      <c r="E3" s="11" t="s">
        <v>9</v>
      </c>
      <c r="F3" s="9"/>
      <c r="G3" s="11"/>
      <c r="H3" s="12" t="s">
        <v>34</v>
      </c>
      <c r="I3" s="9" t="s">
        <v>13</v>
      </c>
      <c r="J3" s="9" t="s">
        <v>26</v>
      </c>
      <c r="K3" s="9"/>
      <c r="L3" s="12" t="s">
        <v>27</v>
      </c>
      <c r="M3" s="23" t="s">
        <v>24</v>
      </c>
      <c r="N3" s="18" t="s">
        <v>28</v>
      </c>
    </row>
    <row r="4" spans="1:17" s="3" customFormat="1" ht="19.5" thickBot="1" x14ac:dyDescent="0.25">
      <c r="A4" s="13"/>
      <c r="B4" s="14" t="s">
        <v>3</v>
      </c>
      <c r="C4" s="15" t="s">
        <v>6</v>
      </c>
      <c r="D4" s="14" t="s">
        <v>8</v>
      </c>
      <c r="E4" s="16" t="s">
        <v>25</v>
      </c>
      <c r="F4" s="14" t="s">
        <v>17</v>
      </c>
      <c r="G4" s="16" t="s">
        <v>11</v>
      </c>
      <c r="H4" s="17" t="s">
        <v>33</v>
      </c>
      <c r="I4" s="14"/>
      <c r="J4" s="14"/>
      <c r="K4" s="14" t="s">
        <v>29</v>
      </c>
      <c r="L4" s="19" t="s">
        <v>30</v>
      </c>
      <c r="M4" s="24" t="s">
        <v>31</v>
      </c>
      <c r="N4" s="19" t="s">
        <v>32</v>
      </c>
    </row>
    <row r="5" spans="1:17" s="41" customFormat="1" ht="20.25" thickBot="1" x14ac:dyDescent="0.35">
      <c r="A5" s="26" t="s">
        <v>37</v>
      </c>
      <c r="B5" s="52"/>
      <c r="C5" s="53"/>
      <c r="D5" s="53"/>
      <c r="E5" s="54"/>
      <c r="F5" s="55"/>
      <c r="G5" s="55"/>
      <c r="H5" s="55"/>
      <c r="I5" s="56"/>
      <c r="J5" s="56"/>
      <c r="K5" s="57"/>
      <c r="L5" s="58">
        <f>(K6)*100/(E6)</f>
        <v>49.172791262135924</v>
      </c>
      <c r="M5" s="59"/>
      <c r="N5" s="60" t="e">
        <f>(K6+K8+K9+K15+#REF!)*100/(M6+M8+M9+M15+#REF!)</f>
        <v>#REF!</v>
      </c>
    </row>
    <row r="6" spans="1:17" s="41" customFormat="1" ht="39.75" thickBot="1" x14ac:dyDescent="0.35">
      <c r="A6" s="28" t="s">
        <v>52</v>
      </c>
      <c r="B6" s="29">
        <f>0+8450460</f>
        <v>8450460</v>
      </c>
      <c r="C6" s="30">
        <v>0</v>
      </c>
      <c r="D6" s="31">
        <f>815000+3515460</f>
        <v>4330460</v>
      </c>
      <c r="E6" s="32">
        <f>B6+C6-D6</f>
        <v>4120000</v>
      </c>
      <c r="F6" s="33">
        <v>483640</v>
      </c>
      <c r="G6" s="34">
        <v>2025919</v>
      </c>
      <c r="H6" s="35">
        <f>G6*100/E6</f>
        <v>49.172791262135924</v>
      </c>
      <c r="I6" s="33">
        <v>0</v>
      </c>
      <c r="J6" s="36">
        <f>E6-G6-I6</f>
        <v>2094081</v>
      </c>
      <c r="K6" s="37">
        <f>I6+G6</f>
        <v>2025919</v>
      </c>
      <c r="L6" s="38">
        <f>K6*100/E6</f>
        <v>49.172791262135924</v>
      </c>
      <c r="M6" s="39">
        <v>8800000</v>
      </c>
      <c r="N6" s="40">
        <f>K6*100/M6</f>
        <v>23.021806818181819</v>
      </c>
    </row>
    <row r="7" spans="1:17" s="41" customFormat="1" ht="20.25" thickBot="1" x14ac:dyDescent="0.35">
      <c r="A7" s="27" t="s">
        <v>38</v>
      </c>
      <c r="B7" s="61"/>
      <c r="C7" s="62">
        <v>0</v>
      </c>
      <c r="D7" s="63"/>
      <c r="E7" s="64"/>
      <c r="F7" s="36"/>
      <c r="G7" s="36"/>
      <c r="H7" s="65"/>
      <c r="I7" s="36"/>
      <c r="J7" s="36"/>
      <c r="K7" s="66"/>
      <c r="L7" s="58">
        <f>(K8+K9)*100/(E8+E9)</f>
        <v>53.446487247692069</v>
      </c>
      <c r="M7" s="59"/>
      <c r="N7" s="60" t="e">
        <f>(#REF!+#REF!+#REF!+#REF!)*100/(#REF!+#REF!+#REF!+#REF!)</f>
        <v>#REF!</v>
      </c>
    </row>
    <row r="8" spans="1:17" s="41" customFormat="1" ht="39" x14ac:dyDescent="0.3">
      <c r="A8" s="28" t="s">
        <v>43</v>
      </c>
      <c r="B8" s="29">
        <f>4117500+2317500</f>
        <v>6435000</v>
      </c>
      <c r="C8" s="30">
        <v>0</v>
      </c>
      <c r="D8" s="31">
        <f>1500000+190000+3220000+400000</f>
        <v>5310000</v>
      </c>
      <c r="E8" s="32">
        <f>B8+C8-D8</f>
        <v>1125000</v>
      </c>
      <c r="F8" s="33">
        <v>0</v>
      </c>
      <c r="G8" s="42">
        <v>566669</v>
      </c>
      <c r="H8" s="35">
        <f>G8*100/E8</f>
        <v>50.370577777777775</v>
      </c>
      <c r="I8" s="33">
        <v>0</v>
      </c>
      <c r="J8" s="36">
        <f>E8-G8-I8</f>
        <v>558331</v>
      </c>
      <c r="K8" s="37">
        <f>I8+G8</f>
        <v>566669</v>
      </c>
      <c r="L8" s="43">
        <f>K8*100/E8</f>
        <v>50.370577777777775</v>
      </c>
      <c r="M8" s="39">
        <v>2150000</v>
      </c>
      <c r="N8" s="44">
        <f>K8*100/M8</f>
        <v>26.356697674418605</v>
      </c>
      <c r="Q8" s="45"/>
    </row>
    <row r="9" spans="1:17" s="41" customFormat="1" ht="39.75" thickBot="1" x14ac:dyDescent="0.35">
      <c r="A9" s="28" t="s">
        <v>54</v>
      </c>
      <c r="B9" s="29">
        <f>2824380+2707020</f>
        <v>5531400</v>
      </c>
      <c r="C9" s="30">
        <v>0</v>
      </c>
      <c r="D9" s="30">
        <f>1000000+500000+2000000+600000</f>
        <v>4100000</v>
      </c>
      <c r="E9" s="32">
        <f>B9+C9-D9</f>
        <v>1431400</v>
      </c>
      <c r="F9" s="33">
        <v>0</v>
      </c>
      <c r="G9" s="42">
        <v>799637</v>
      </c>
      <c r="H9" s="35">
        <f>G9*100/E9</f>
        <v>55.86397932094453</v>
      </c>
      <c r="I9" s="33">
        <v>0</v>
      </c>
      <c r="J9" s="36">
        <f>E9-G9-I9</f>
        <v>631763</v>
      </c>
      <c r="K9" s="37">
        <f>I9+G9</f>
        <v>799637</v>
      </c>
      <c r="L9" s="43">
        <f>K9*100/E9</f>
        <v>55.86397932094453</v>
      </c>
      <c r="M9" s="39">
        <v>1096000</v>
      </c>
      <c r="N9" s="44">
        <f>K9*100/M9</f>
        <v>72.959580291970809</v>
      </c>
      <c r="Q9" s="45"/>
    </row>
    <row r="10" spans="1:17" s="41" customFormat="1" ht="20.25" thickBot="1" x14ac:dyDescent="0.35">
      <c r="A10" s="27" t="s">
        <v>39</v>
      </c>
      <c r="B10" s="67"/>
      <c r="C10" s="62"/>
      <c r="D10" s="62"/>
      <c r="E10" s="64"/>
      <c r="F10" s="36"/>
      <c r="G10" s="36"/>
      <c r="H10" s="65"/>
      <c r="I10" s="36"/>
      <c r="J10" s="36"/>
      <c r="K10" s="36"/>
      <c r="L10" s="69">
        <f>(K11+K12+K13)*100/(E11+E12+E13)</f>
        <v>6.411318967558608</v>
      </c>
      <c r="M10" s="68"/>
      <c r="N10" s="60" t="e">
        <f>#REF!*100/#REF!</f>
        <v>#REF!</v>
      </c>
    </row>
    <row r="11" spans="1:17" s="41" customFormat="1" ht="39" x14ac:dyDescent="0.3">
      <c r="A11" s="28" t="s">
        <v>60</v>
      </c>
      <c r="B11" s="101"/>
      <c r="C11" s="102">
        <f>120000</f>
        <v>120000</v>
      </c>
      <c r="D11" s="102">
        <f>73960</f>
        <v>73960</v>
      </c>
      <c r="E11" s="32">
        <f>B11+C11-D11</f>
        <v>46040</v>
      </c>
      <c r="F11" s="33">
        <v>0</v>
      </c>
      <c r="G11" s="42">
        <v>36040</v>
      </c>
      <c r="H11" s="35">
        <f t="shared" ref="H11:H12" si="0">G11*100/E11</f>
        <v>78.279756733275406</v>
      </c>
      <c r="I11" s="33">
        <v>5000</v>
      </c>
      <c r="J11" s="36">
        <f t="shared" ref="J11" si="1">E11-G11-I11</f>
        <v>5000</v>
      </c>
      <c r="K11" s="37">
        <f t="shared" ref="K11" si="2">I11+G11</f>
        <v>41040</v>
      </c>
      <c r="L11" s="37">
        <f>K11*100/E11</f>
        <v>89.139878366637703</v>
      </c>
      <c r="M11" s="68"/>
      <c r="N11" s="100"/>
    </row>
    <row r="12" spans="1:17" s="41" customFormat="1" ht="39" x14ac:dyDescent="0.3">
      <c r="A12" s="28" t="s">
        <v>58</v>
      </c>
      <c r="B12" s="29">
        <f>0+577800</f>
        <v>577800</v>
      </c>
      <c r="C12" s="30">
        <v>0</v>
      </c>
      <c r="D12" s="30">
        <v>0</v>
      </c>
      <c r="E12" s="32">
        <f>B12+C12-D12</f>
        <v>577800</v>
      </c>
      <c r="F12" s="33">
        <v>0</v>
      </c>
      <c r="G12" s="42">
        <v>2280</v>
      </c>
      <c r="H12" s="35">
        <f t="shared" si="0"/>
        <v>0.39460020768431986</v>
      </c>
      <c r="I12" s="33">
        <v>0</v>
      </c>
      <c r="J12" s="36">
        <f>E12-G12-I12</f>
        <v>575520</v>
      </c>
      <c r="K12" s="37">
        <f>I12+G12</f>
        <v>2280</v>
      </c>
      <c r="L12" s="37">
        <f>K12*100/E12</f>
        <v>0.39460020768431986</v>
      </c>
      <c r="M12" s="39">
        <f>E12</f>
        <v>577800</v>
      </c>
      <c r="N12" s="40">
        <f>K12*100/M12</f>
        <v>0.39460020768431986</v>
      </c>
    </row>
    <row r="13" spans="1:17" s="41" customFormat="1" ht="20.25" thickBot="1" x14ac:dyDescent="0.35">
      <c r="A13" s="28" t="s">
        <v>59</v>
      </c>
      <c r="B13" s="29">
        <f>0+2880000</f>
        <v>2880000</v>
      </c>
      <c r="C13" s="30">
        <v>0</v>
      </c>
      <c r="D13" s="30">
        <f>2828160</f>
        <v>2828160</v>
      </c>
      <c r="E13" s="32">
        <f>B13+C13-D13</f>
        <v>51840</v>
      </c>
      <c r="F13" s="33">
        <v>0</v>
      </c>
      <c r="G13" s="42">
        <v>0</v>
      </c>
      <c r="H13" s="35">
        <v>0</v>
      </c>
      <c r="I13" s="33">
        <v>0</v>
      </c>
      <c r="J13" s="36">
        <f>E13-G13-I13</f>
        <v>51840</v>
      </c>
      <c r="K13" s="37">
        <f>I13+G13</f>
        <v>0</v>
      </c>
      <c r="L13" s="37">
        <f>K13*100/E13</f>
        <v>0</v>
      </c>
      <c r="M13" s="51"/>
      <c r="N13" s="50"/>
    </row>
    <row r="14" spans="1:17" s="41" customFormat="1" ht="39.75" thickBot="1" x14ac:dyDescent="0.35">
      <c r="A14" s="26" t="s">
        <v>41</v>
      </c>
      <c r="B14" s="61"/>
      <c r="C14" s="62"/>
      <c r="D14" s="62"/>
      <c r="E14" s="64"/>
      <c r="F14" s="55"/>
      <c r="G14" s="55"/>
      <c r="H14" s="55"/>
      <c r="I14" s="36"/>
      <c r="J14" s="36"/>
      <c r="K14" s="66"/>
      <c r="L14" s="58">
        <f>(K15)*100/(E15)</f>
        <v>89.339489194499023</v>
      </c>
      <c r="M14" s="59"/>
      <c r="N14" s="60" t="e">
        <f>(K16+K21+#REF!+K17+#REF!)*100/(M16+M21+#REF!+M17+#REF!)</f>
        <v>#REF!</v>
      </c>
    </row>
    <row r="15" spans="1:17" s="41" customFormat="1" ht="39.75" thickBot="1" x14ac:dyDescent="0.35">
      <c r="A15" s="28" t="s">
        <v>42</v>
      </c>
      <c r="B15" s="29">
        <f>3866940+3866940</f>
        <v>7733880</v>
      </c>
      <c r="C15" s="30">
        <v>0</v>
      </c>
      <c r="D15" s="31">
        <f>2024440+4436940</f>
        <v>6461380</v>
      </c>
      <c r="E15" s="32">
        <f>B15+C15-D15</f>
        <v>1272500</v>
      </c>
      <c r="F15" s="33">
        <v>595</v>
      </c>
      <c r="G15" s="42">
        <v>1136845</v>
      </c>
      <c r="H15" s="35">
        <f t="shared" ref="H15" si="3">G15*100/E15</f>
        <v>89.339489194499023</v>
      </c>
      <c r="I15" s="33">
        <v>0</v>
      </c>
      <c r="J15" s="36">
        <f>E15-G15-I15</f>
        <v>135655</v>
      </c>
      <c r="K15" s="37">
        <f>I15+G15</f>
        <v>1136845</v>
      </c>
      <c r="L15" s="46">
        <f>K15*100/E15</f>
        <v>89.339489194499023</v>
      </c>
      <c r="M15" s="39">
        <v>2540000</v>
      </c>
      <c r="N15" s="47">
        <f>K15*100/M15</f>
        <v>44.75767716535433</v>
      </c>
      <c r="Q15" s="48"/>
    </row>
    <row r="16" spans="1:17" s="41" customFormat="1" ht="20.25" thickBot="1" x14ac:dyDescent="0.35">
      <c r="A16" s="27" t="s">
        <v>40</v>
      </c>
      <c r="B16" s="61"/>
      <c r="C16" s="62"/>
      <c r="D16" s="62"/>
      <c r="E16" s="64"/>
      <c r="F16" s="36"/>
      <c r="G16" s="36"/>
      <c r="H16" s="65"/>
      <c r="I16" s="36"/>
      <c r="J16" s="36"/>
      <c r="K16" s="36"/>
      <c r="L16" s="69">
        <f>(K17+K19+K20+K21)*100 /(E17+E19+E20+E21)</f>
        <v>46.435474223473484</v>
      </c>
      <c r="M16" s="68"/>
      <c r="N16" s="60">
        <f>(K17+K19+K20+K21)*100/(M17+M19+M20+M21)</f>
        <v>27.238742182635299</v>
      </c>
    </row>
    <row r="17" spans="1:14" s="41" customFormat="1" ht="19.5" x14ac:dyDescent="0.3">
      <c r="A17" s="25" t="s">
        <v>18</v>
      </c>
      <c r="B17" s="29">
        <f>1315400+195400</f>
        <v>1510800</v>
      </c>
      <c r="C17" s="30">
        <v>0</v>
      </c>
      <c r="D17" s="30">
        <v>0</v>
      </c>
      <c r="E17" s="51">
        <f t="shared" ref="E17:E22" si="4">B17+C17-D17</f>
        <v>1510800</v>
      </c>
      <c r="F17" s="33">
        <v>168637.27</v>
      </c>
      <c r="G17" s="42">
        <v>593175.42000000004</v>
      </c>
      <c r="H17" s="35">
        <f t="shared" ref="H17:H21" si="5">G17*100/E17</f>
        <v>39.262339158061955</v>
      </c>
      <c r="I17" s="33">
        <v>0</v>
      </c>
      <c r="J17" s="36">
        <f>E17-G17-I17</f>
        <v>917624.58</v>
      </c>
      <c r="K17" s="37">
        <f t="shared" ref="K17:K22" si="6">I17+G17</f>
        <v>593175.42000000004</v>
      </c>
      <c r="L17" s="38">
        <f t="shared" ref="L17:L21" si="7">K17*100/E17</f>
        <v>39.262339158061955</v>
      </c>
      <c r="M17" s="39">
        <v>2898700</v>
      </c>
      <c r="N17" s="40">
        <f t="shared" ref="N17:N22" si="8">K17*100/M17</f>
        <v>20.463498119846829</v>
      </c>
    </row>
    <row r="18" spans="1:14" s="41" customFormat="1" ht="19.5" x14ac:dyDescent="0.3">
      <c r="A18" s="25" t="s">
        <v>51</v>
      </c>
      <c r="B18" s="29">
        <f>500000+500000</f>
        <v>1000000</v>
      </c>
      <c r="C18" s="30">
        <v>0</v>
      </c>
      <c r="D18" s="30">
        <f>529594</f>
        <v>529594</v>
      </c>
      <c r="E18" s="51">
        <f t="shared" si="4"/>
        <v>470406</v>
      </c>
      <c r="F18" s="33">
        <v>0</v>
      </c>
      <c r="G18" s="42">
        <v>470406</v>
      </c>
      <c r="H18" s="35">
        <f t="shared" si="5"/>
        <v>100</v>
      </c>
      <c r="I18" s="33">
        <v>0</v>
      </c>
      <c r="J18" s="36">
        <f>E18-G18-I18</f>
        <v>0</v>
      </c>
      <c r="K18" s="37">
        <f t="shared" si="6"/>
        <v>470406</v>
      </c>
      <c r="L18" s="38">
        <f t="shared" si="7"/>
        <v>100</v>
      </c>
      <c r="M18" s="39"/>
      <c r="N18" s="40"/>
    </row>
    <row r="19" spans="1:14" s="41" customFormat="1" ht="19.5" x14ac:dyDescent="0.3">
      <c r="A19" s="25" t="s">
        <v>47</v>
      </c>
      <c r="B19" s="29">
        <f>97000+133400</f>
        <v>230400</v>
      </c>
      <c r="C19" s="30">
        <f>24000+40400</f>
        <v>64400</v>
      </c>
      <c r="D19" s="30">
        <f>24000+42000</f>
        <v>66000</v>
      </c>
      <c r="E19" s="32">
        <f t="shared" si="4"/>
        <v>228800</v>
      </c>
      <c r="F19" s="33">
        <v>25400</v>
      </c>
      <c r="G19" s="42">
        <v>139800</v>
      </c>
      <c r="H19" s="35">
        <f t="shared" si="5"/>
        <v>61.1013986013986</v>
      </c>
      <c r="I19" s="33">
        <v>0</v>
      </c>
      <c r="J19" s="36">
        <f>E19-G19-I19</f>
        <v>89000</v>
      </c>
      <c r="K19" s="37">
        <f t="shared" si="6"/>
        <v>139800</v>
      </c>
      <c r="L19" s="43">
        <f t="shared" si="7"/>
        <v>61.1013986013986</v>
      </c>
      <c r="M19" s="39">
        <v>180000</v>
      </c>
      <c r="N19" s="44">
        <f t="shared" si="8"/>
        <v>77.666666666666671</v>
      </c>
    </row>
    <row r="20" spans="1:14" s="41" customFormat="1" ht="19.5" x14ac:dyDescent="0.3">
      <c r="A20" s="25" t="s">
        <v>48</v>
      </c>
      <c r="B20" s="29">
        <f>143600+132400</f>
        <v>276000</v>
      </c>
      <c r="C20" s="30">
        <v>0</v>
      </c>
      <c r="D20" s="30">
        <f>18000+18000</f>
        <v>36000</v>
      </c>
      <c r="E20" s="32">
        <f t="shared" si="4"/>
        <v>240000</v>
      </c>
      <c r="F20" s="33">
        <v>20000</v>
      </c>
      <c r="G20" s="42">
        <v>160000</v>
      </c>
      <c r="H20" s="35">
        <f t="shared" si="5"/>
        <v>66.666666666666671</v>
      </c>
      <c r="I20" s="33">
        <v>0</v>
      </c>
      <c r="J20" s="36">
        <f t="shared" ref="J20:J22" si="9">E20-G20-I20</f>
        <v>80000</v>
      </c>
      <c r="K20" s="49">
        <f>I20+G20</f>
        <v>160000</v>
      </c>
      <c r="L20" s="43">
        <f t="shared" si="7"/>
        <v>66.666666666666671</v>
      </c>
      <c r="M20" s="39">
        <v>264000</v>
      </c>
      <c r="N20" s="44">
        <f t="shared" si="8"/>
        <v>60.606060606060609</v>
      </c>
    </row>
    <row r="21" spans="1:14" s="41" customFormat="1" ht="19.5" x14ac:dyDescent="0.3">
      <c r="A21" s="25" t="s">
        <v>49</v>
      </c>
      <c r="B21" s="29">
        <f>88100+99000</f>
        <v>187100</v>
      </c>
      <c r="C21" s="30">
        <v>0</v>
      </c>
      <c r="D21" s="30">
        <v>0</v>
      </c>
      <c r="E21" s="32">
        <f t="shared" si="4"/>
        <v>187100</v>
      </c>
      <c r="F21" s="33">
        <v>26404</v>
      </c>
      <c r="G21" s="42">
        <v>113142</v>
      </c>
      <c r="H21" s="35">
        <f t="shared" si="5"/>
        <v>60.47140566541956</v>
      </c>
      <c r="I21" s="33">
        <v>0</v>
      </c>
      <c r="J21" s="36">
        <f t="shared" si="9"/>
        <v>73958</v>
      </c>
      <c r="K21" s="49">
        <f>I21+G21</f>
        <v>113142</v>
      </c>
      <c r="L21" s="38">
        <f t="shared" si="7"/>
        <v>60.47140566541956</v>
      </c>
      <c r="M21" s="39">
        <v>351000</v>
      </c>
      <c r="N21" s="40">
        <f t="shared" si="8"/>
        <v>32.234188034188037</v>
      </c>
    </row>
    <row r="22" spans="1:14" s="41" customFormat="1" ht="19.5" x14ac:dyDescent="0.3">
      <c r="A22" s="25" t="s">
        <v>50</v>
      </c>
      <c r="B22" s="29">
        <f>0+671000</f>
        <v>671000</v>
      </c>
      <c r="C22" s="30">
        <v>0</v>
      </c>
      <c r="D22" s="30">
        <f>378500</f>
        <v>378500</v>
      </c>
      <c r="E22" s="32">
        <f t="shared" si="4"/>
        <v>292500</v>
      </c>
      <c r="F22" s="33">
        <v>292500</v>
      </c>
      <c r="G22" s="42">
        <v>292500</v>
      </c>
      <c r="H22" s="35">
        <v>0</v>
      </c>
      <c r="I22" s="33">
        <v>0</v>
      </c>
      <c r="J22" s="36">
        <f t="shared" si="9"/>
        <v>0</v>
      </c>
      <c r="K22" s="49">
        <f t="shared" si="6"/>
        <v>292500</v>
      </c>
      <c r="L22" s="38">
        <v>0</v>
      </c>
      <c r="M22" s="39">
        <v>49000</v>
      </c>
      <c r="N22" s="44">
        <f t="shared" si="8"/>
        <v>596.9387755102041</v>
      </c>
    </row>
    <row r="23" spans="1:14" s="80" customFormat="1" x14ac:dyDescent="0.3">
      <c r="A23" s="70" t="s">
        <v>15</v>
      </c>
      <c r="B23" s="71">
        <f>SUM(B5:B22)</f>
        <v>35483840</v>
      </c>
      <c r="C23" s="71">
        <f>SUM(C5:C22)</f>
        <v>184400</v>
      </c>
      <c r="D23" s="71">
        <f>SUM(D5:D22)</f>
        <v>24114054</v>
      </c>
      <c r="E23" s="72">
        <f>SUM(E5:E22)</f>
        <v>11554186</v>
      </c>
      <c r="F23" s="73">
        <f>SUM(F5:F22)</f>
        <v>1017176.27</v>
      </c>
      <c r="G23" s="74">
        <f>SUM(G6:G22)</f>
        <v>6336413.4199999999</v>
      </c>
      <c r="H23" s="75">
        <f>G23*100/E23</f>
        <v>54.840846598799779</v>
      </c>
      <c r="I23" s="73">
        <f>SUM(I5:I22)</f>
        <v>5000</v>
      </c>
      <c r="J23" s="76">
        <f>SUM(J5:J22)</f>
        <v>5212772.58</v>
      </c>
      <c r="K23" s="77">
        <f>SUM(K5:K22)</f>
        <v>6341413.4199999999</v>
      </c>
      <c r="L23" s="78">
        <f>K23*100/E23</f>
        <v>54.884120958412822</v>
      </c>
      <c r="M23" s="79">
        <f>SUM(M5:M22)</f>
        <v>18906500</v>
      </c>
      <c r="N23" s="75">
        <f>K23*100/M23</f>
        <v>33.540916721762358</v>
      </c>
    </row>
    <row r="24" spans="1:14" s="80" customFormat="1" x14ac:dyDescent="0.3">
      <c r="A24" s="81" t="s">
        <v>19</v>
      </c>
      <c r="B24" s="82">
        <f>B23-B22</f>
        <v>34812840</v>
      </c>
      <c r="C24" s="82">
        <f>C23-C22</f>
        <v>184400</v>
      </c>
      <c r="D24" s="82">
        <f>D23-D22</f>
        <v>23735554</v>
      </c>
      <c r="E24" s="96">
        <f>E23-E22</f>
        <v>11261686</v>
      </c>
      <c r="F24" s="82">
        <f t="shared" ref="F24" si="10">F23-F22</f>
        <v>724676.27</v>
      </c>
      <c r="G24" s="82">
        <f>G23-G22</f>
        <v>6043913.4199999999</v>
      </c>
      <c r="H24" s="82">
        <f>G24*100/E24</f>
        <v>53.667926987131409</v>
      </c>
      <c r="I24" s="82">
        <f>I23-I22</f>
        <v>5000</v>
      </c>
      <c r="J24" s="82">
        <f>J23-J22</f>
        <v>5212772.58</v>
      </c>
      <c r="K24" s="82">
        <f>K23-K22</f>
        <v>6048913.4199999999</v>
      </c>
      <c r="L24" s="104">
        <f>K24*100/E24</f>
        <v>53.712325312568652</v>
      </c>
      <c r="M24" s="83" t="e">
        <f>M23-M22-#REF!-#REF!</f>
        <v>#REF!</v>
      </c>
      <c r="N24" s="84" t="e">
        <f>K24*100/M24</f>
        <v>#REF!</v>
      </c>
    </row>
    <row r="25" spans="1:14" s="41" customFormat="1" x14ac:dyDescent="0.3">
      <c r="A25" s="6" t="s">
        <v>20</v>
      </c>
      <c r="B25" s="85"/>
      <c r="C25" s="85"/>
      <c r="D25" s="85"/>
      <c r="E25" s="86"/>
      <c r="F25" s="86"/>
      <c r="G25" s="87">
        <f>G24+I24</f>
        <v>6048913.4199999999</v>
      </c>
      <c r="H25" s="88">
        <f>G25*100/E24</f>
        <v>53.712325312568652</v>
      </c>
      <c r="I25" s="86"/>
      <c r="J25" s="89"/>
      <c r="K25" s="86"/>
      <c r="L25" s="90"/>
      <c r="M25" s="86"/>
      <c r="N25" s="86"/>
    </row>
    <row r="26" spans="1:14" s="41" customFormat="1" x14ac:dyDescent="0.3">
      <c r="A26" s="91" t="s">
        <v>46</v>
      </c>
      <c r="B26" s="114"/>
      <c r="C26" s="120" t="s">
        <v>35</v>
      </c>
      <c r="D26" s="121"/>
      <c r="E26" s="121"/>
      <c r="F26" s="114">
        <v>45</v>
      </c>
      <c r="G26" s="120" t="s">
        <v>36</v>
      </c>
      <c r="H26" s="121"/>
      <c r="I26" s="121"/>
      <c r="J26" s="20">
        <v>95</v>
      </c>
      <c r="K26" s="21"/>
      <c r="L26" s="21"/>
      <c r="M26" s="114">
        <v>97</v>
      </c>
      <c r="N26" s="20"/>
    </row>
    <row r="27" spans="1:14" s="94" customFormat="1" x14ac:dyDescent="0.3">
      <c r="B27" s="93"/>
      <c r="C27" s="93"/>
      <c r="D27" s="111"/>
      <c r="E27" s="110">
        <f>E23-[3]พค.63!$E$32</f>
        <v>0</v>
      </c>
      <c r="F27" s="111">
        <f>F23-[3]พค.63!$F$32</f>
        <v>859067.77</v>
      </c>
      <c r="G27" s="111">
        <f>G23-[3]พค.63!$G$32</f>
        <v>1017176.2699999996</v>
      </c>
      <c r="H27" s="112"/>
      <c r="I27" s="111">
        <f>I23-[3]พค.63!$H$32</f>
        <v>5000</v>
      </c>
      <c r="J27" s="111">
        <f>J23-[3]พค.63!$I$32</f>
        <v>-1022176.2699999996</v>
      </c>
      <c r="K27" s="112"/>
    </row>
    <row r="30" spans="1:14" x14ac:dyDescent="0.3">
      <c r="K30" s="5"/>
      <c r="L30" s="5"/>
      <c r="M30" s="5"/>
      <c r="N30" s="5"/>
    </row>
  </sheetData>
  <mergeCells count="4">
    <mergeCell ref="A1:L1"/>
    <mergeCell ref="C2:D2"/>
    <mergeCell ref="C26:E26"/>
    <mergeCell ref="G26:I26"/>
  </mergeCells>
  <pageMargins left="0.18" right="0.17" top="0.51" bottom="0.75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0" sqref="E10"/>
    </sheetView>
  </sheetViews>
  <sheetFormatPr defaultRowHeight="18.75" x14ac:dyDescent="0.3"/>
  <cols>
    <col min="1" max="1" width="48.7109375" style="4" customWidth="1"/>
    <col min="2" max="2" width="12" style="4" customWidth="1"/>
    <col min="3" max="3" width="10" style="4" customWidth="1"/>
    <col min="4" max="4" width="12.7109375" style="4" customWidth="1"/>
    <col min="5" max="5" width="13" style="4" customWidth="1"/>
    <col min="6" max="6" width="12.7109375" style="4" customWidth="1"/>
    <col min="7" max="7" width="15.140625" style="4" customWidth="1"/>
    <col min="8" max="8" width="8.42578125" style="4" customWidth="1"/>
    <col min="9" max="9" width="11.5703125" style="4" customWidth="1"/>
    <col min="10" max="10" width="13.85546875" style="4" customWidth="1"/>
    <col min="11" max="11" width="14.5703125" style="4" customWidth="1"/>
    <col min="12" max="12" width="9.42578125" style="4" customWidth="1"/>
    <col min="13" max="13" width="13.85546875" style="4" hidden="1" customWidth="1"/>
    <col min="14" max="14" width="0.5703125" style="4" hidden="1" customWidth="1"/>
    <col min="15" max="16384" width="9.140625" style="4"/>
  </cols>
  <sheetData>
    <row r="1" spans="1:17" s="1" customFormat="1" ht="26.25" x14ac:dyDescent="0.2">
      <c r="A1" s="116" t="s">
        <v>66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7" s="2" customFormat="1" x14ac:dyDescent="0.3">
      <c r="A2" s="7" t="s">
        <v>0</v>
      </c>
      <c r="B2" s="7" t="s">
        <v>1</v>
      </c>
      <c r="C2" s="118" t="s">
        <v>4</v>
      </c>
      <c r="D2" s="119"/>
      <c r="E2" s="8" t="s">
        <v>1</v>
      </c>
      <c r="F2" s="7" t="s">
        <v>10</v>
      </c>
      <c r="G2" s="8" t="s">
        <v>16</v>
      </c>
      <c r="H2" s="7" t="s">
        <v>21</v>
      </c>
      <c r="I2" s="7" t="s">
        <v>12</v>
      </c>
      <c r="J2" s="7" t="s">
        <v>14</v>
      </c>
      <c r="K2" s="7" t="s">
        <v>22</v>
      </c>
      <c r="L2" s="7" t="s">
        <v>21</v>
      </c>
      <c r="M2" s="22" t="s">
        <v>23</v>
      </c>
      <c r="N2" s="7" t="s">
        <v>21</v>
      </c>
    </row>
    <row r="3" spans="1:17" s="2" customFormat="1" x14ac:dyDescent="0.3">
      <c r="A3" s="9"/>
      <c r="B3" s="9" t="s">
        <v>2</v>
      </c>
      <c r="C3" s="10" t="s">
        <v>5</v>
      </c>
      <c r="D3" s="7" t="s">
        <v>7</v>
      </c>
      <c r="E3" s="11" t="s">
        <v>9</v>
      </c>
      <c r="F3" s="9"/>
      <c r="G3" s="11"/>
      <c r="H3" s="12" t="s">
        <v>34</v>
      </c>
      <c r="I3" s="9" t="s">
        <v>13</v>
      </c>
      <c r="J3" s="9" t="s">
        <v>26</v>
      </c>
      <c r="K3" s="9"/>
      <c r="L3" s="12" t="s">
        <v>27</v>
      </c>
      <c r="M3" s="23" t="s">
        <v>24</v>
      </c>
      <c r="N3" s="18" t="s">
        <v>28</v>
      </c>
    </row>
    <row r="4" spans="1:17" s="3" customFormat="1" ht="19.5" thickBot="1" x14ac:dyDescent="0.25">
      <c r="A4" s="13"/>
      <c r="B4" s="14" t="s">
        <v>3</v>
      </c>
      <c r="C4" s="15" t="s">
        <v>6</v>
      </c>
      <c r="D4" s="14" t="s">
        <v>8</v>
      </c>
      <c r="E4" s="16" t="s">
        <v>25</v>
      </c>
      <c r="F4" s="14" t="s">
        <v>17</v>
      </c>
      <c r="G4" s="16" t="s">
        <v>11</v>
      </c>
      <c r="H4" s="17" t="s">
        <v>33</v>
      </c>
      <c r="I4" s="14"/>
      <c r="J4" s="14"/>
      <c r="K4" s="14" t="s">
        <v>29</v>
      </c>
      <c r="L4" s="19" t="s">
        <v>30</v>
      </c>
      <c r="M4" s="24" t="s">
        <v>31</v>
      </c>
      <c r="N4" s="19" t="s">
        <v>32</v>
      </c>
    </row>
    <row r="5" spans="1:17" s="41" customFormat="1" ht="20.25" thickBot="1" x14ac:dyDescent="0.35">
      <c r="A5" s="26" t="s">
        <v>37</v>
      </c>
      <c r="B5" s="52"/>
      <c r="C5" s="53"/>
      <c r="D5" s="53"/>
      <c r="E5" s="54"/>
      <c r="F5" s="55"/>
      <c r="G5" s="55"/>
      <c r="H5" s="55"/>
      <c r="I5" s="56"/>
      <c r="J5" s="56"/>
      <c r="K5" s="57"/>
      <c r="L5" s="58">
        <f>(K6)*100/(E6)</f>
        <v>63.215024271844662</v>
      </c>
      <c r="M5" s="59"/>
      <c r="N5" s="60" t="e">
        <f>(K6+K8+K9+K15+#REF!)*100/(M6+M8+M9+M15+#REF!)</f>
        <v>#REF!</v>
      </c>
    </row>
    <row r="6" spans="1:17" s="41" customFormat="1" ht="39.75" thickBot="1" x14ac:dyDescent="0.35">
      <c r="A6" s="28" t="s">
        <v>52</v>
      </c>
      <c r="B6" s="29">
        <f>0+8450460</f>
        <v>8450460</v>
      </c>
      <c r="C6" s="30">
        <v>0</v>
      </c>
      <c r="D6" s="31">
        <f>815000+3515460</f>
        <v>4330460</v>
      </c>
      <c r="E6" s="32">
        <f>B6+C6-D6</f>
        <v>4120000</v>
      </c>
      <c r="F6" s="33">
        <v>494340</v>
      </c>
      <c r="G6" s="34">
        <v>2520259</v>
      </c>
      <c r="H6" s="35">
        <f>G6*100/E6</f>
        <v>61.171334951456309</v>
      </c>
      <c r="I6" s="33">
        <v>84200</v>
      </c>
      <c r="J6" s="36">
        <f>E6-G6-I6</f>
        <v>1515541</v>
      </c>
      <c r="K6" s="37">
        <f>I6+G6</f>
        <v>2604459</v>
      </c>
      <c r="L6" s="38">
        <f>K6*100/E6</f>
        <v>63.215024271844662</v>
      </c>
      <c r="M6" s="39">
        <v>8800000</v>
      </c>
      <c r="N6" s="40">
        <f>K6*100/M6</f>
        <v>29.596125000000001</v>
      </c>
    </row>
    <row r="7" spans="1:17" s="41" customFormat="1" ht="20.25" thickBot="1" x14ac:dyDescent="0.35">
      <c r="A7" s="27" t="s">
        <v>38</v>
      </c>
      <c r="B7" s="61"/>
      <c r="C7" s="62">
        <v>0</v>
      </c>
      <c r="D7" s="63"/>
      <c r="E7" s="64"/>
      <c r="F7" s="36"/>
      <c r="G7" s="36"/>
      <c r="H7" s="65"/>
      <c r="I7" s="36"/>
      <c r="J7" s="36"/>
      <c r="K7" s="66"/>
      <c r="L7" s="58">
        <f>(K8+K9)*100/(E8+E9)</f>
        <v>63.170513221718039</v>
      </c>
      <c r="M7" s="59"/>
      <c r="N7" s="60" t="e">
        <f>(#REF!+#REF!+#REF!+#REF!)*100/(#REF!+#REF!+#REF!+#REF!)</f>
        <v>#REF!</v>
      </c>
    </row>
    <row r="8" spans="1:17" s="41" customFormat="1" ht="39" x14ac:dyDescent="0.3">
      <c r="A8" s="28" t="s">
        <v>43</v>
      </c>
      <c r="B8" s="29">
        <f>4117500+2317500</f>
        <v>6435000</v>
      </c>
      <c r="C8" s="30">
        <v>0</v>
      </c>
      <c r="D8" s="31">
        <f>1500000+190000+3220000+400000</f>
        <v>5310000</v>
      </c>
      <c r="E8" s="32">
        <f>B8+C8-D8</f>
        <v>1125000</v>
      </c>
      <c r="F8" s="33">
        <v>44940</v>
      </c>
      <c r="G8" s="42">
        <v>611609</v>
      </c>
      <c r="H8" s="35">
        <f>G8*100/E8</f>
        <v>54.365244444444443</v>
      </c>
      <c r="I8" s="33">
        <v>0</v>
      </c>
      <c r="J8" s="36">
        <f>E8-G8-I8</f>
        <v>513391</v>
      </c>
      <c r="K8" s="37">
        <f>I8+G8</f>
        <v>611609</v>
      </c>
      <c r="L8" s="43">
        <f>K8*100/E8</f>
        <v>54.365244444444443</v>
      </c>
      <c r="M8" s="39">
        <v>2150000</v>
      </c>
      <c r="N8" s="44">
        <f>K8*100/M8</f>
        <v>28.446930232558138</v>
      </c>
      <c r="Q8" s="45"/>
    </row>
    <row r="9" spans="1:17" s="41" customFormat="1" ht="39.75" thickBot="1" x14ac:dyDescent="0.35">
      <c r="A9" s="28" t="s">
        <v>54</v>
      </c>
      <c r="B9" s="29">
        <f>2824380+2707020</f>
        <v>5531400</v>
      </c>
      <c r="C9" s="30">
        <v>0</v>
      </c>
      <c r="D9" s="30">
        <f>1000000+500000+2000000+600000</f>
        <v>4100000</v>
      </c>
      <c r="E9" s="32">
        <f>B9+C9-D9</f>
        <v>1431400</v>
      </c>
      <c r="F9" s="33">
        <v>203645</v>
      </c>
      <c r="G9" s="42">
        <v>1003282</v>
      </c>
      <c r="H9" s="35">
        <f>G9*100/E9</f>
        <v>70.090959899399195</v>
      </c>
      <c r="I9" s="33">
        <v>0</v>
      </c>
      <c r="J9" s="36">
        <f>E9-G9-I9</f>
        <v>428118</v>
      </c>
      <c r="K9" s="37">
        <f>I9+G9</f>
        <v>1003282</v>
      </c>
      <c r="L9" s="43">
        <f>K9*100/E9</f>
        <v>70.090959899399195</v>
      </c>
      <c r="M9" s="39">
        <v>1096000</v>
      </c>
      <c r="N9" s="44">
        <f>K9*100/M9</f>
        <v>91.540328467153287</v>
      </c>
      <c r="Q9" s="45"/>
    </row>
    <row r="10" spans="1:17" s="41" customFormat="1" ht="20.25" thickBot="1" x14ac:dyDescent="0.35">
      <c r="A10" s="27" t="s">
        <v>39</v>
      </c>
      <c r="B10" s="67"/>
      <c r="C10" s="62"/>
      <c r="D10" s="62"/>
      <c r="E10" s="64"/>
      <c r="F10" s="36"/>
      <c r="G10" s="36"/>
      <c r="H10" s="65"/>
      <c r="I10" s="36"/>
      <c r="J10" s="36"/>
      <c r="K10" s="36"/>
      <c r="L10" s="69">
        <f>(K11+K12+K13)*100/(E11+E12+E13)</f>
        <v>50.923454889888703</v>
      </c>
      <c r="M10" s="68"/>
      <c r="N10" s="60" t="e">
        <f>#REF!*100/#REF!</f>
        <v>#REF!</v>
      </c>
    </row>
    <row r="11" spans="1:17" s="41" customFormat="1" ht="39" x14ac:dyDescent="0.3">
      <c r="A11" s="28" t="s">
        <v>60</v>
      </c>
      <c r="B11" s="101"/>
      <c r="C11" s="102">
        <f>120000</f>
        <v>120000</v>
      </c>
      <c r="D11" s="102">
        <f>73960</f>
        <v>73960</v>
      </c>
      <c r="E11" s="32">
        <f>B11+C11-D11</f>
        <v>46040</v>
      </c>
      <c r="F11" s="33">
        <v>3720</v>
      </c>
      <c r="G11" s="42">
        <v>39760</v>
      </c>
      <c r="H11" s="35">
        <f t="shared" ref="H11:H12" si="0">G11*100/E11</f>
        <v>86.359687228496952</v>
      </c>
      <c r="I11" s="33">
        <v>0</v>
      </c>
      <c r="J11" s="36">
        <f t="shared" ref="J11" si="1">E11-G11-I11</f>
        <v>6280</v>
      </c>
      <c r="K11" s="37">
        <f t="shared" ref="K11" si="2">I11+G11</f>
        <v>39760</v>
      </c>
      <c r="L11" s="37">
        <f>K11*100/E11</f>
        <v>86.359687228496952</v>
      </c>
      <c r="M11" s="68"/>
      <c r="N11" s="100"/>
    </row>
    <row r="12" spans="1:17" s="41" customFormat="1" ht="39" x14ac:dyDescent="0.3">
      <c r="A12" s="28" t="s">
        <v>58</v>
      </c>
      <c r="B12" s="29">
        <f>0+577800</f>
        <v>577800</v>
      </c>
      <c r="C12" s="30">
        <v>0</v>
      </c>
      <c r="D12" s="30">
        <v>0</v>
      </c>
      <c r="E12" s="32">
        <f>B12+C12-D12</f>
        <v>577800</v>
      </c>
      <c r="F12" s="33">
        <v>250199.6</v>
      </c>
      <c r="G12" s="42">
        <v>252479.6</v>
      </c>
      <c r="H12" s="35">
        <f t="shared" si="0"/>
        <v>43.696711664935961</v>
      </c>
      <c r="I12" s="33">
        <v>0</v>
      </c>
      <c r="J12" s="36">
        <f>E12-G12-I12</f>
        <v>325320.40000000002</v>
      </c>
      <c r="K12" s="37">
        <f>I12+G12</f>
        <v>252479.6</v>
      </c>
      <c r="L12" s="37">
        <f>K12*100/E12</f>
        <v>43.696711664935961</v>
      </c>
      <c r="M12" s="39">
        <f>E12</f>
        <v>577800</v>
      </c>
      <c r="N12" s="40">
        <f>K12*100/M12</f>
        <v>43.696711664935961</v>
      </c>
    </row>
    <row r="13" spans="1:17" s="41" customFormat="1" ht="20.25" thickBot="1" x14ac:dyDescent="0.35">
      <c r="A13" s="28" t="s">
        <v>59</v>
      </c>
      <c r="B13" s="29">
        <f>0+2880000</f>
        <v>2880000</v>
      </c>
      <c r="C13" s="30">
        <v>0</v>
      </c>
      <c r="D13" s="30">
        <f>2828160</f>
        <v>2828160</v>
      </c>
      <c r="E13" s="32">
        <f>B13+C13-D13</f>
        <v>51840</v>
      </c>
      <c r="F13" s="33">
        <v>51840</v>
      </c>
      <c r="G13" s="42">
        <v>51840</v>
      </c>
      <c r="H13" s="35">
        <v>0</v>
      </c>
      <c r="I13" s="33">
        <v>0</v>
      </c>
      <c r="J13" s="36">
        <f>E13-G13-I13</f>
        <v>0</v>
      </c>
      <c r="K13" s="37">
        <f>I13+G13</f>
        <v>51840</v>
      </c>
      <c r="L13" s="37">
        <f>K13*100/E13</f>
        <v>100</v>
      </c>
      <c r="M13" s="51"/>
      <c r="N13" s="50"/>
    </row>
    <row r="14" spans="1:17" s="41" customFormat="1" ht="39.75" thickBot="1" x14ac:dyDescent="0.35">
      <c r="A14" s="26" t="s">
        <v>41</v>
      </c>
      <c r="B14" s="61"/>
      <c r="C14" s="62"/>
      <c r="D14" s="62"/>
      <c r="E14" s="64"/>
      <c r="F14" s="55"/>
      <c r="G14" s="55"/>
      <c r="H14" s="55"/>
      <c r="I14" s="36"/>
      <c r="J14" s="36"/>
      <c r="K14" s="66"/>
      <c r="L14" s="58">
        <f>(K15)*100/(E15)</f>
        <v>90.27740667976424</v>
      </c>
      <c r="M14" s="59"/>
      <c r="N14" s="60" t="e">
        <f>(K16+K21+#REF!+K17+#REF!)*100/(M16+M21+#REF!+M17+#REF!)</f>
        <v>#REF!</v>
      </c>
    </row>
    <row r="15" spans="1:17" s="41" customFormat="1" ht="39.75" thickBot="1" x14ac:dyDescent="0.35">
      <c r="A15" s="28" t="s">
        <v>42</v>
      </c>
      <c r="B15" s="29">
        <f>3866940+3866940</f>
        <v>7733880</v>
      </c>
      <c r="C15" s="30">
        <v>0</v>
      </c>
      <c r="D15" s="31">
        <f>2024440+4436940</f>
        <v>6461380</v>
      </c>
      <c r="E15" s="32">
        <f>B15+C15-D15</f>
        <v>1272500</v>
      </c>
      <c r="F15" s="33">
        <v>11935</v>
      </c>
      <c r="G15" s="42">
        <v>1148780</v>
      </c>
      <c r="H15" s="35">
        <f t="shared" ref="H15" si="3">G15*100/E15</f>
        <v>90.27740667976424</v>
      </c>
      <c r="I15" s="33">
        <v>0</v>
      </c>
      <c r="J15" s="36">
        <f>E15-G15-I15</f>
        <v>123720</v>
      </c>
      <c r="K15" s="37">
        <f>I15+G15</f>
        <v>1148780</v>
      </c>
      <c r="L15" s="46">
        <f>K15*100/E15</f>
        <v>90.27740667976424</v>
      </c>
      <c r="M15" s="39">
        <v>2540000</v>
      </c>
      <c r="N15" s="47">
        <f>K15*100/M15</f>
        <v>45.227559055118107</v>
      </c>
      <c r="Q15" s="48"/>
    </row>
    <row r="16" spans="1:17" s="41" customFormat="1" ht="20.25" thickBot="1" x14ac:dyDescent="0.35">
      <c r="A16" s="27" t="s">
        <v>40</v>
      </c>
      <c r="B16" s="61"/>
      <c r="C16" s="62"/>
      <c r="D16" s="62"/>
      <c r="E16" s="64"/>
      <c r="F16" s="36"/>
      <c r="G16" s="36"/>
      <c r="H16" s="65"/>
      <c r="I16" s="36"/>
      <c r="J16" s="36"/>
      <c r="K16" s="36"/>
      <c r="L16" s="69">
        <f>(K17+K19+K20+K21)*100 /(E17+E19+E20+E21)</f>
        <v>53.965995292380114</v>
      </c>
      <c r="M16" s="68"/>
      <c r="N16" s="60">
        <f>(K17+K19+K20+K21)*100/(M17+M19+M20+M21)</f>
        <v>31.656096055445758</v>
      </c>
    </row>
    <row r="17" spans="1:14" s="41" customFormat="1" ht="19.5" x14ac:dyDescent="0.3">
      <c r="A17" s="25" t="s">
        <v>18</v>
      </c>
      <c r="B17" s="29">
        <f>1315400+195400</f>
        <v>1510800</v>
      </c>
      <c r="C17" s="30">
        <v>0</v>
      </c>
      <c r="D17" s="30">
        <v>0</v>
      </c>
      <c r="E17" s="51">
        <f t="shared" ref="E17:E22" si="4">B17+C17-D17</f>
        <v>1510800</v>
      </c>
      <c r="F17" s="33">
        <v>107390.8</v>
      </c>
      <c r="G17" s="42">
        <v>700566.22</v>
      </c>
      <c r="H17" s="35">
        <f t="shared" ref="H17:H21" si="5">G17*100/E17</f>
        <v>46.370546730209163</v>
      </c>
      <c r="I17" s="33">
        <v>0</v>
      </c>
      <c r="J17" s="36">
        <f>E17-G17-I17</f>
        <v>810233.78</v>
      </c>
      <c r="K17" s="37">
        <f t="shared" ref="K17:K22" si="6">I17+G17</f>
        <v>700566.22</v>
      </c>
      <c r="L17" s="38">
        <f t="shared" ref="L17:L21" si="7">K17*100/E17</f>
        <v>46.370546730209163</v>
      </c>
      <c r="M17" s="39">
        <v>2898700</v>
      </c>
      <c r="N17" s="40">
        <f t="shared" ref="N17:N22" si="8">K17*100/M17</f>
        <v>24.168289923068961</v>
      </c>
    </row>
    <row r="18" spans="1:14" s="41" customFormat="1" ht="19.5" x14ac:dyDescent="0.3">
      <c r="A18" s="25" t="s">
        <v>51</v>
      </c>
      <c r="B18" s="29">
        <f>500000+500000</f>
        <v>1000000</v>
      </c>
      <c r="C18" s="30">
        <v>0</v>
      </c>
      <c r="D18" s="30">
        <f>529594</f>
        <v>529594</v>
      </c>
      <c r="E18" s="51">
        <f t="shared" si="4"/>
        <v>470406</v>
      </c>
      <c r="F18" s="33">
        <v>0</v>
      </c>
      <c r="G18" s="42">
        <v>470406</v>
      </c>
      <c r="H18" s="35">
        <f t="shared" si="5"/>
        <v>100</v>
      </c>
      <c r="I18" s="33">
        <v>0</v>
      </c>
      <c r="J18" s="36">
        <f>E18-G18-I18</f>
        <v>0</v>
      </c>
      <c r="K18" s="37">
        <f t="shared" si="6"/>
        <v>470406</v>
      </c>
      <c r="L18" s="38">
        <f t="shared" si="7"/>
        <v>100</v>
      </c>
      <c r="M18" s="39"/>
      <c r="N18" s="40"/>
    </row>
    <row r="19" spans="1:14" s="41" customFormat="1" ht="19.5" x14ac:dyDescent="0.3">
      <c r="A19" s="25" t="s">
        <v>47</v>
      </c>
      <c r="B19" s="29">
        <f>97000+133400</f>
        <v>230400</v>
      </c>
      <c r="C19" s="30">
        <f>24000+40400</f>
        <v>64400</v>
      </c>
      <c r="D19" s="30">
        <f>24000+42000</f>
        <v>66000</v>
      </c>
      <c r="E19" s="32">
        <f t="shared" si="4"/>
        <v>228800</v>
      </c>
      <c r="F19" s="33">
        <v>20200</v>
      </c>
      <c r="G19" s="42">
        <v>160000</v>
      </c>
      <c r="H19" s="35">
        <f t="shared" si="5"/>
        <v>69.930069930069934</v>
      </c>
      <c r="I19" s="33">
        <v>0</v>
      </c>
      <c r="J19" s="36">
        <f>E19-G19-I19</f>
        <v>68800</v>
      </c>
      <c r="K19" s="37">
        <f t="shared" si="6"/>
        <v>160000</v>
      </c>
      <c r="L19" s="43">
        <f t="shared" si="7"/>
        <v>69.930069930069934</v>
      </c>
      <c r="M19" s="39">
        <v>180000</v>
      </c>
      <c r="N19" s="44">
        <f t="shared" si="8"/>
        <v>88.888888888888886</v>
      </c>
    </row>
    <row r="20" spans="1:14" s="41" customFormat="1" ht="19.5" x14ac:dyDescent="0.3">
      <c r="A20" s="25" t="s">
        <v>48</v>
      </c>
      <c r="B20" s="29">
        <f>143600+132400</f>
        <v>276000</v>
      </c>
      <c r="C20" s="30">
        <v>0</v>
      </c>
      <c r="D20" s="30">
        <f>18000+18000</f>
        <v>36000</v>
      </c>
      <c r="E20" s="32">
        <f t="shared" si="4"/>
        <v>240000</v>
      </c>
      <c r="F20" s="33">
        <v>20000</v>
      </c>
      <c r="G20" s="42">
        <v>180000</v>
      </c>
      <c r="H20" s="35">
        <f t="shared" si="5"/>
        <v>75</v>
      </c>
      <c r="I20" s="33">
        <v>0</v>
      </c>
      <c r="J20" s="36">
        <f t="shared" ref="J20:J22" si="9">E20-G20-I20</f>
        <v>60000</v>
      </c>
      <c r="K20" s="49">
        <f>I20+G20</f>
        <v>180000</v>
      </c>
      <c r="L20" s="43">
        <f t="shared" si="7"/>
        <v>75</v>
      </c>
      <c r="M20" s="39">
        <v>264000</v>
      </c>
      <c r="N20" s="44">
        <f t="shared" si="8"/>
        <v>68.181818181818187</v>
      </c>
    </row>
    <row r="21" spans="1:14" s="41" customFormat="1" ht="19.5" x14ac:dyDescent="0.3">
      <c r="A21" s="25" t="s">
        <v>49</v>
      </c>
      <c r="B21" s="29">
        <f>88100+99000</f>
        <v>187100</v>
      </c>
      <c r="C21" s="30">
        <v>0</v>
      </c>
      <c r="D21" s="30">
        <v>0</v>
      </c>
      <c r="E21" s="32">
        <f t="shared" si="4"/>
        <v>187100</v>
      </c>
      <c r="F21" s="33">
        <v>15573</v>
      </c>
      <c r="G21" s="42">
        <v>128715</v>
      </c>
      <c r="H21" s="35">
        <f t="shared" si="5"/>
        <v>68.79476215927312</v>
      </c>
      <c r="I21" s="33">
        <v>0</v>
      </c>
      <c r="J21" s="36">
        <f t="shared" si="9"/>
        <v>58385</v>
      </c>
      <c r="K21" s="49">
        <f>I21+G21</f>
        <v>128715</v>
      </c>
      <c r="L21" s="38">
        <f t="shared" si="7"/>
        <v>68.79476215927312</v>
      </c>
      <c r="M21" s="39">
        <v>351000</v>
      </c>
      <c r="N21" s="40">
        <f t="shared" si="8"/>
        <v>36.67094017094017</v>
      </c>
    </row>
    <row r="22" spans="1:14" s="41" customFormat="1" ht="19.5" x14ac:dyDescent="0.3">
      <c r="A22" s="25" t="s">
        <v>50</v>
      </c>
      <c r="B22" s="29">
        <f>0+671000</f>
        <v>671000</v>
      </c>
      <c r="C22" s="30">
        <v>0</v>
      </c>
      <c r="D22" s="30">
        <f>378500</f>
        <v>378500</v>
      </c>
      <c r="E22" s="32">
        <f t="shared" si="4"/>
        <v>292500</v>
      </c>
      <c r="F22" s="33">
        <v>0</v>
      </c>
      <c r="G22" s="42">
        <v>292500</v>
      </c>
      <c r="H22" s="35">
        <v>0</v>
      </c>
      <c r="I22" s="33">
        <v>0</v>
      </c>
      <c r="J22" s="36">
        <f t="shared" si="9"/>
        <v>0</v>
      </c>
      <c r="K22" s="49">
        <f t="shared" si="6"/>
        <v>292500</v>
      </c>
      <c r="L22" s="38">
        <v>0</v>
      </c>
      <c r="M22" s="39">
        <v>49000</v>
      </c>
      <c r="N22" s="44">
        <f t="shared" si="8"/>
        <v>596.9387755102041</v>
      </c>
    </row>
    <row r="23" spans="1:14" s="80" customFormat="1" x14ac:dyDescent="0.3">
      <c r="A23" s="70" t="s">
        <v>15</v>
      </c>
      <c r="B23" s="71">
        <f>SUM(B5:B22)</f>
        <v>35483840</v>
      </c>
      <c r="C23" s="71">
        <f>SUM(C5:C22)</f>
        <v>184400</v>
      </c>
      <c r="D23" s="71">
        <f>SUM(D5:D22)</f>
        <v>24114054</v>
      </c>
      <c r="E23" s="72">
        <f>SUM(E5:E22)</f>
        <v>11554186</v>
      </c>
      <c r="F23" s="73">
        <f>SUM(F5:F22)</f>
        <v>1223783.4000000001</v>
      </c>
      <c r="G23" s="74">
        <f>SUM(G6:G22)</f>
        <v>7560196.8199999994</v>
      </c>
      <c r="H23" s="75">
        <f>G23*100/E23</f>
        <v>65.432535186814533</v>
      </c>
      <c r="I23" s="73">
        <f>SUM(I5:I22)</f>
        <v>84200</v>
      </c>
      <c r="J23" s="76">
        <f>SUM(J5:J22)</f>
        <v>3909789.1799999997</v>
      </c>
      <c r="K23" s="77">
        <f>SUM(K5:K22)</f>
        <v>7644396.8199999994</v>
      </c>
      <c r="L23" s="78">
        <f>K23*100/E23</f>
        <v>66.161275402698195</v>
      </c>
      <c r="M23" s="79">
        <f>SUM(M5:M22)</f>
        <v>18906500</v>
      </c>
      <c r="N23" s="75">
        <f>K23*100/M23</f>
        <v>40.432638616348868</v>
      </c>
    </row>
    <row r="24" spans="1:14" s="80" customFormat="1" x14ac:dyDescent="0.3">
      <c r="A24" s="81" t="s">
        <v>19</v>
      </c>
      <c r="B24" s="82">
        <f>B23-B22</f>
        <v>34812840</v>
      </c>
      <c r="C24" s="82">
        <f>C23-C22</f>
        <v>184400</v>
      </c>
      <c r="D24" s="82">
        <f>D23-D22</f>
        <v>23735554</v>
      </c>
      <c r="E24" s="96">
        <f>E23-E22</f>
        <v>11261686</v>
      </c>
      <c r="F24" s="82">
        <f t="shared" ref="F24" si="10">F23-F22</f>
        <v>1223783.4000000001</v>
      </c>
      <c r="G24" s="82">
        <f>G23-G22</f>
        <v>7267696.8199999994</v>
      </c>
      <c r="H24" s="82">
        <f>G24*100/E24</f>
        <v>64.534713718709597</v>
      </c>
      <c r="I24" s="82">
        <f>I23-I22</f>
        <v>84200</v>
      </c>
      <c r="J24" s="82">
        <f>J23-J22</f>
        <v>3909789.1799999997</v>
      </c>
      <c r="K24" s="82">
        <f>K23-K22</f>
        <v>7351896.8199999994</v>
      </c>
      <c r="L24" s="104">
        <f>K24*100/E24</f>
        <v>65.282381519072715</v>
      </c>
      <c r="M24" s="83" t="e">
        <f>M23-M22-#REF!-#REF!</f>
        <v>#REF!</v>
      </c>
      <c r="N24" s="84" t="e">
        <f>K24*100/M24</f>
        <v>#REF!</v>
      </c>
    </row>
    <row r="25" spans="1:14" s="41" customFormat="1" x14ac:dyDescent="0.3">
      <c r="A25" s="6" t="s">
        <v>20</v>
      </c>
      <c r="B25" s="85"/>
      <c r="C25" s="85"/>
      <c r="D25" s="85"/>
      <c r="E25" s="86"/>
      <c r="F25" s="86"/>
      <c r="G25" s="87">
        <f>G24+I24</f>
        <v>7351896.8199999994</v>
      </c>
      <c r="H25" s="88">
        <f>G25*100/E24</f>
        <v>65.282381519072715</v>
      </c>
      <c r="I25" s="86"/>
      <c r="J25" s="89"/>
      <c r="K25" s="86"/>
      <c r="L25" s="90"/>
      <c r="M25" s="86"/>
      <c r="N25" s="86"/>
    </row>
    <row r="26" spans="1:14" s="41" customFormat="1" x14ac:dyDescent="0.3">
      <c r="A26" s="91" t="s">
        <v>46</v>
      </c>
      <c r="B26" s="115"/>
      <c r="C26" s="120" t="s">
        <v>35</v>
      </c>
      <c r="D26" s="121"/>
      <c r="E26" s="121"/>
      <c r="F26" s="115">
        <v>45</v>
      </c>
      <c r="G26" s="120" t="s">
        <v>36</v>
      </c>
      <c r="H26" s="121"/>
      <c r="I26" s="121"/>
      <c r="J26" s="20">
        <v>95</v>
      </c>
      <c r="K26" s="21"/>
      <c r="L26" s="21"/>
      <c r="M26" s="115">
        <v>97</v>
      </c>
      <c r="N26" s="20"/>
    </row>
    <row r="27" spans="1:14" s="94" customFormat="1" x14ac:dyDescent="0.3">
      <c r="B27" s="93"/>
      <c r="C27" s="93"/>
      <c r="D27" s="111"/>
      <c r="E27" s="110">
        <f>E23-[1]มิย.63!$E$32</f>
        <v>0</v>
      </c>
      <c r="F27" s="111">
        <f>F23-[1]มิย.63!$F$32</f>
        <v>0</v>
      </c>
      <c r="G27" s="111">
        <f>G23-[1]มิย.63!$G$32</f>
        <v>0</v>
      </c>
      <c r="H27" s="112"/>
      <c r="I27" s="111">
        <f>I23-[1]มิย.63!$H$32</f>
        <v>0</v>
      </c>
      <c r="J27" s="111">
        <f>J23-[1]มิย.63!$I$32</f>
        <v>0</v>
      </c>
      <c r="K27" s="112"/>
    </row>
    <row r="30" spans="1:14" x14ac:dyDescent="0.3">
      <c r="K30" s="5"/>
      <c r="L30" s="5"/>
      <c r="M30" s="5"/>
      <c r="N30" s="5"/>
    </row>
  </sheetData>
  <mergeCells count="4">
    <mergeCell ref="A1:L1"/>
    <mergeCell ref="C2:D2"/>
    <mergeCell ref="C26:E26"/>
    <mergeCell ref="G26:I26"/>
  </mergeCells>
  <pageMargins left="0.18" right="0.17" top="0.51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พย.62</vt:lpstr>
      <vt:lpstr>ธค.62</vt:lpstr>
      <vt:lpstr>มค.63</vt:lpstr>
      <vt:lpstr>กพ.63</vt:lpstr>
      <vt:lpstr>มีค.63</vt:lpstr>
      <vt:lpstr>เมย.63</vt:lpstr>
      <vt:lpstr>พค.63</vt:lpstr>
      <vt:lpstr>มิย.63</vt:lpstr>
      <vt:lpstr>กพ.63!Print_Area</vt:lpstr>
      <vt:lpstr>ธค.62!Print_Area</vt:lpstr>
      <vt:lpstr>พย.62!Print_Area</vt:lpstr>
      <vt:lpstr>มค.63!Print_Area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ch</cp:lastModifiedBy>
  <cp:lastPrinted>2020-07-01T07:12:05Z</cp:lastPrinted>
  <dcterms:created xsi:type="dcterms:W3CDTF">2005-12-28T04:01:13Z</dcterms:created>
  <dcterms:modified xsi:type="dcterms:W3CDTF">2020-07-01T07:35:57Z</dcterms:modified>
</cp:coreProperties>
</file>